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LIENTS\MS Consultants\25-0584-027 ODOT NE Truck Parking\04 Analysis, Calculations and Drafts\Drainage Calcs\Excel\"/>
    </mc:Choice>
  </mc:AlternateContent>
  <xr:revisionPtr revIDLastSave="0" documentId="13_ncr:1_{1427A8C1-99B5-46A0-8688-8F899C2298FB}" xr6:coauthVersionLast="47" xr6:coauthVersionMax="47" xr10:uidLastSave="{00000000-0000-0000-0000-000000000000}"/>
  <bookViews>
    <workbookView xWindow="9100" yWindow="310" windowWidth="10100" windowHeight="9840" firstSheet="3" activeTab="3" xr2:uid="{00000000-000D-0000-FFFF-FFFF00000000}"/>
  </bookViews>
  <sheets>
    <sheet name="ODOT Rain - Ramp S" sheetId="10" r:id="rId1"/>
    <sheet name="ODOT ToC (DA 1)- Ramp S" sheetId="9" r:id="rId2"/>
    <sheet name="ODOT ToC (DA 2a)- Ramp S" sheetId="11" r:id="rId3"/>
    <sheet name="ODOT ToC (DA 2b)- Ramp S" sheetId="19" r:id="rId4"/>
    <sheet name="ODOT ToC (DA 3)- Truck Parking" sheetId="14" r:id="rId5"/>
    <sheet name="ODOT ToC (DA 4)- Truck Park" sheetId="18" r:id="rId6"/>
    <sheet name="ODOT ToC (DA5-DA9)-Truck Park" sheetId="15" r:id="rId7"/>
    <sheet name="ODOT ToC (DA 10)-Truck Parking" sheetId="16" r:id="rId8"/>
    <sheet name="SCS lag" sheetId="3" r:id="rId9"/>
    <sheet name="TR55 ToC" sheetId="5" r:id="rId10"/>
    <sheet name="DA-RC-TOC Table" sheetId="13" r:id="rId11"/>
  </sheets>
  <definedNames>
    <definedName name="_xlnm.Print_Area" localSheetId="1">'ODOT ToC (DA 1)- Ramp S'!$A$1:$G$47</definedName>
    <definedName name="_xlnm.Print_Area" localSheetId="7">'ODOT ToC (DA 10)-Truck Parking'!$A$1:$G$37</definedName>
    <definedName name="_xlnm.Print_Area" localSheetId="2">'ODOT ToC (DA 2a)- Ramp S'!$A$1:$G$47</definedName>
    <definedName name="_xlnm.Print_Area" localSheetId="3">'ODOT ToC (DA 2b)- Ramp S'!$A$1:$G$47</definedName>
    <definedName name="_xlnm.Print_Area" localSheetId="4">'ODOT ToC (DA 3)- Truck Parking'!$A$1:$G$37</definedName>
    <definedName name="_xlnm.Print_Area" localSheetId="5">'ODOT ToC (DA 4)- Truck Park'!$A$1:$G$37</definedName>
    <definedName name="_xlnm.Print_Area" localSheetId="6">'ODOT ToC (DA5-DA9)-Truck Park'!$A$1:$G$37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11" l="1"/>
  <c r="G33" i="19"/>
  <c r="G37" i="19" s="1"/>
  <c r="G39" i="19" s="1"/>
  <c r="E33" i="19"/>
  <c r="E37" i="19" s="1"/>
  <c r="E15" i="19"/>
  <c r="B3" i="19" s="1"/>
  <c r="C5" i="13" s="1"/>
  <c r="G14" i="19"/>
  <c r="G13" i="19"/>
  <c r="G12" i="19"/>
  <c r="G11" i="19"/>
  <c r="G10" i="19"/>
  <c r="G9" i="19"/>
  <c r="G8" i="19"/>
  <c r="G7" i="19"/>
  <c r="G6" i="19"/>
  <c r="G5" i="19"/>
  <c r="G26" i="18"/>
  <c r="G28" i="18" s="1"/>
  <c r="E26" i="18"/>
  <c r="E15" i="18"/>
  <c r="B3" i="18" s="1"/>
  <c r="G14" i="18"/>
  <c r="G13" i="18"/>
  <c r="G12" i="18"/>
  <c r="G11" i="18"/>
  <c r="G10" i="18"/>
  <c r="G9" i="18"/>
  <c r="G8" i="18"/>
  <c r="G7" i="18"/>
  <c r="G6" i="18"/>
  <c r="G5" i="18"/>
  <c r="G15" i="19" l="1"/>
  <c r="C15" i="19" s="1"/>
  <c r="G15" i="18"/>
  <c r="C15" i="18" s="1"/>
  <c r="C28" i="18" s="1"/>
  <c r="G31" i="18" s="1"/>
  <c r="G34" i="18" s="1"/>
  <c r="G26" i="16"/>
  <c r="G28" i="16" s="1"/>
  <c r="E26" i="16"/>
  <c r="E15" i="16"/>
  <c r="B3" i="16" s="1"/>
  <c r="G14" i="16"/>
  <c r="G13" i="16"/>
  <c r="G12" i="16"/>
  <c r="G11" i="16"/>
  <c r="G10" i="16"/>
  <c r="G9" i="16"/>
  <c r="G8" i="16"/>
  <c r="G7" i="16"/>
  <c r="G6" i="16"/>
  <c r="G5" i="16"/>
  <c r="G26" i="15"/>
  <c r="G28" i="15" s="1"/>
  <c r="E26" i="15"/>
  <c r="E15" i="15"/>
  <c r="B3" i="15" s="1"/>
  <c r="G14" i="15"/>
  <c r="G13" i="15"/>
  <c r="G12" i="15"/>
  <c r="G11" i="15"/>
  <c r="G10" i="15"/>
  <c r="G9" i="15"/>
  <c r="G8" i="15"/>
  <c r="G7" i="15"/>
  <c r="G6" i="15"/>
  <c r="G5" i="15"/>
  <c r="G26" i="14"/>
  <c r="G28" i="14" s="1"/>
  <c r="E26" i="14"/>
  <c r="E15" i="14"/>
  <c r="G14" i="14"/>
  <c r="G13" i="14"/>
  <c r="G12" i="14"/>
  <c r="G11" i="14"/>
  <c r="G10" i="14"/>
  <c r="G9" i="14"/>
  <c r="G8" i="14"/>
  <c r="G7" i="14"/>
  <c r="G6" i="14"/>
  <c r="G5" i="14"/>
  <c r="G33" i="11"/>
  <c r="G37" i="11" s="1"/>
  <c r="G39" i="11" s="1"/>
  <c r="E33" i="11"/>
  <c r="E37" i="11" s="1"/>
  <c r="C33" i="11"/>
  <c r="G14" i="11"/>
  <c r="E15" i="11"/>
  <c r="B3" i="11" s="1"/>
  <c r="C4" i="13" s="1"/>
  <c r="G13" i="11"/>
  <c r="G12" i="11"/>
  <c r="G11" i="11"/>
  <c r="G10" i="11"/>
  <c r="G9" i="11"/>
  <c r="G8" i="11"/>
  <c r="G7" i="11"/>
  <c r="G6" i="11"/>
  <c r="G5" i="11"/>
  <c r="E14" i="9"/>
  <c r="E11" i="9"/>
  <c r="G11" i="9" s="1"/>
  <c r="G14" i="9"/>
  <c r="G33" i="9"/>
  <c r="G37" i="9" s="1"/>
  <c r="G39" i="9" s="1"/>
  <c r="E33" i="9"/>
  <c r="E37" i="9" s="1"/>
  <c r="C33" i="9"/>
  <c r="G13" i="9"/>
  <c r="G12" i="9"/>
  <c r="G10" i="9"/>
  <c r="G9" i="9"/>
  <c r="G8" i="9"/>
  <c r="G7" i="9"/>
  <c r="G6" i="9"/>
  <c r="G5" i="9"/>
  <c r="E22" i="5"/>
  <c r="G42" i="19" l="1"/>
  <c r="G45" i="19" s="1"/>
  <c r="E5" i="13" s="1"/>
  <c r="D5" i="13"/>
  <c r="C9" i="13"/>
  <c r="B3" i="14"/>
  <c r="C16" i="13"/>
  <c r="G15" i="16"/>
  <c r="C15" i="16" s="1"/>
  <c r="C10" i="13"/>
  <c r="C15" i="13"/>
  <c r="C14" i="13"/>
  <c r="C13" i="13"/>
  <c r="C11" i="13"/>
  <c r="C12" i="13"/>
  <c r="G15" i="15"/>
  <c r="C15" i="15" s="1"/>
  <c r="C28" i="15" s="1"/>
  <c r="G31" i="15" s="1"/>
  <c r="G34" i="15" s="1"/>
  <c r="G15" i="14"/>
  <c r="C15" i="14" s="1"/>
  <c r="G15" i="11"/>
  <c r="C15" i="11" s="1"/>
  <c r="D4" i="13" s="1"/>
  <c r="C31" i="10"/>
  <c r="C24" i="10"/>
  <c r="C17" i="10"/>
  <c r="C38" i="10"/>
  <c r="C45" i="10"/>
  <c r="G15" i="9"/>
  <c r="E15" i="9"/>
  <c r="C14" i="5"/>
  <c r="E16" i="5" s="1"/>
  <c r="E8" i="5"/>
  <c r="B7" i="3"/>
  <c r="B9" i="3" s="1"/>
  <c r="C28" i="16" l="1"/>
  <c r="G31" i="16" s="1"/>
  <c r="G34" i="16" s="1"/>
  <c r="D16" i="13"/>
  <c r="E11" i="13"/>
  <c r="E14" i="13"/>
  <c r="E12" i="13"/>
  <c r="E15" i="13"/>
  <c r="E10" i="13"/>
  <c r="E13" i="13"/>
  <c r="D14" i="13"/>
  <c r="D10" i="13"/>
  <c r="D11" i="13"/>
  <c r="D12" i="13"/>
  <c r="D13" i="13"/>
  <c r="D15" i="13"/>
  <c r="C28" i="14"/>
  <c r="G31" i="14" s="1"/>
  <c r="G34" i="14" s="1"/>
  <c r="D9" i="13"/>
  <c r="C39" i="11"/>
  <c r="G42" i="11" s="1"/>
  <c r="G45" i="11" s="1"/>
  <c r="E4" i="13" s="1"/>
  <c r="C15" i="9"/>
  <c r="D3" i="13" s="1"/>
  <c r="B3" i="9"/>
  <c r="C3" i="13" s="1"/>
  <c r="C43" i="10"/>
  <c r="C22" i="10"/>
  <c r="C29" i="10"/>
  <c r="C15" i="10"/>
  <c r="C36" i="10"/>
  <c r="B12" i="3"/>
  <c r="B10" i="3"/>
  <c r="B13" i="3" s="1"/>
  <c r="E24" i="5"/>
  <c r="E25" i="5" s="1"/>
  <c r="E16" i="13" l="1"/>
  <c r="E9" i="13"/>
  <c r="H1" i="10"/>
  <c r="F9" i="10" s="1"/>
  <c r="F45" i="10"/>
  <c r="F17" i="10"/>
  <c r="F38" i="10"/>
  <c r="F31" i="10"/>
  <c r="F24" i="10"/>
  <c r="C39" i="9"/>
  <c r="G42" i="9" s="1"/>
  <c r="G45" i="9" s="1"/>
  <c r="F43" i="10"/>
  <c r="F36" i="10"/>
  <c r="F29" i="10"/>
  <c r="F22" i="10"/>
  <c r="F15" i="10"/>
  <c r="F7" i="10"/>
  <c r="F6" i="10"/>
  <c r="F10" i="10"/>
  <c r="F5" i="10"/>
  <c r="F8" i="10"/>
  <c r="H2" i="10" l="1"/>
  <c r="E3" i="13"/>
  <c r="F37" i="10"/>
  <c r="F39" i="10" s="1"/>
  <c r="C37" i="10"/>
  <c r="C39" i="10" s="1"/>
  <c r="C30" i="10"/>
  <c r="C32" i="10" s="1"/>
  <c r="F30" i="10"/>
  <c r="F32" i="10" s="1"/>
  <c r="F44" i="10"/>
  <c r="F46" i="10" s="1"/>
  <c r="C44" i="10"/>
  <c r="C46" i="10" s="1"/>
  <c r="F16" i="10"/>
  <c r="F18" i="10" s="1"/>
  <c r="C16" i="10"/>
  <c r="C18" i="10" s="1"/>
  <c r="F23" i="10"/>
  <c r="F25" i="10" s="1"/>
  <c r="C23" i="10"/>
  <c r="C25" i="10" s="1"/>
</calcChain>
</file>

<file path=xl/sharedStrings.xml><?xml version="1.0" encoding="utf-8"?>
<sst xmlns="http://schemas.openxmlformats.org/spreadsheetml/2006/main" count="297" uniqueCount="87">
  <si>
    <t>a</t>
  </si>
  <si>
    <t>b</t>
  </si>
  <si>
    <t>c</t>
  </si>
  <si>
    <t>storm yr</t>
  </si>
  <si>
    <t>rainfall intensity (in/hr)</t>
  </si>
  <si>
    <t>ODOT rainfall - Area A</t>
  </si>
  <si>
    <t>sheet flow</t>
  </si>
  <si>
    <t>L (ft)</t>
  </si>
  <si>
    <t>C</t>
  </si>
  <si>
    <t>shallow concentrated flow</t>
  </si>
  <si>
    <t>channel/pipe flow</t>
  </si>
  <si>
    <t>V (ft/sec)</t>
  </si>
  <si>
    <t>channel/pipe flow itme (min)</t>
  </si>
  <si>
    <t>TOTAL TIME OF CONCENTRATION (min)</t>
  </si>
  <si>
    <t>SCS lag method</t>
  </si>
  <si>
    <t>CN</t>
  </si>
  <si>
    <t>slope (%)</t>
  </si>
  <si>
    <t>Storage</t>
  </si>
  <si>
    <t>T-lag (hr)</t>
  </si>
  <si>
    <t>T-lag (min)</t>
  </si>
  <si>
    <t>Tc (hr)</t>
  </si>
  <si>
    <t>Tc (min)</t>
  </si>
  <si>
    <t>n</t>
  </si>
  <si>
    <t>s (ft/ft)</t>
  </si>
  <si>
    <t>P2 (in)</t>
  </si>
  <si>
    <t>sheet flow time (hr)</t>
  </si>
  <si>
    <t>surface</t>
  </si>
  <si>
    <t>paved</t>
  </si>
  <si>
    <t>unpaved</t>
  </si>
  <si>
    <t>velocity</t>
  </si>
  <si>
    <t>shallow conc flow time (hr)</t>
  </si>
  <si>
    <t>TOTAL TIME OF CONCENTRATION (hr)</t>
  </si>
  <si>
    <t>TR55 method</t>
  </si>
  <si>
    <t>I (in/hr)</t>
  </si>
  <si>
    <t>A</t>
  </si>
  <si>
    <t>Q (cfs)</t>
  </si>
  <si>
    <t>Q5</t>
  </si>
  <si>
    <t>Q10</t>
  </si>
  <si>
    <t>Q25</t>
  </si>
  <si>
    <t>Q50</t>
  </si>
  <si>
    <t>TIME OF CONCENTRATION</t>
  </si>
  <si>
    <t>PID:</t>
  </si>
  <si>
    <t>AREA:</t>
  </si>
  <si>
    <t>C value</t>
  </si>
  <si>
    <t>Area (ac)</t>
  </si>
  <si>
    <t>C x A</t>
  </si>
  <si>
    <t>Residential</t>
  </si>
  <si>
    <t>Woods</t>
  </si>
  <si>
    <t>Paved</t>
  </si>
  <si>
    <t>Cultivated</t>
  </si>
  <si>
    <t>Total Area</t>
  </si>
  <si>
    <t>Total C x A</t>
  </si>
  <si>
    <t>C Average</t>
  </si>
  <si>
    <t>NEIGHBOR</t>
  </si>
  <si>
    <t>SHEET</t>
  </si>
  <si>
    <t>SHALLOW</t>
  </si>
  <si>
    <t>L (Length of flow, ft.)</t>
  </si>
  <si>
    <t>S (Slope, %)</t>
  </si>
  <si>
    <t>k (Intercept coeff.)</t>
  </si>
  <si>
    <t>Velocity (fps)</t>
  </si>
  <si>
    <t>Time of Concentration (min.)</t>
  </si>
  <si>
    <t>Total Time of Concentration (min.)</t>
  </si>
  <si>
    <t>Min. Tc (min.)</t>
  </si>
  <si>
    <t>OPEN CHANNEL</t>
  </si>
  <si>
    <t>SHEET ELEVATIONS</t>
  </si>
  <si>
    <t>HIGH PT</t>
  </si>
  <si>
    <t>LOW POINT</t>
  </si>
  <si>
    <t>OPEN CHANNEL ELEVATIONS</t>
  </si>
  <si>
    <t>SHALLOW ELEVATIONS</t>
  </si>
  <si>
    <t>Q100</t>
  </si>
  <si>
    <t>Drainage Area 3</t>
  </si>
  <si>
    <t>Drainage Area 4</t>
  </si>
  <si>
    <t>time of concentration DA3</t>
  </si>
  <si>
    <t>time of concentration DA4</t>
  </si>
  <si>
    <t>TIME OF CONCENTRATION - DA-1</t>
  </si>
  <si>
    <t>DA</t>
  </si>
  <si>
    <t>AREA</t>
  </si>
  <si>
    <t>RUNOFF COEFFICIENT</t>
  </si>
  <si>
    <t>TIME OF CONCENTRATION - DA-3</t>
  </si>
  <si>
    <t>TIME OF CONCENTRATION - DA-4</t>
  </si>
  <si>
    <t>TIME OF CONCENTRATION - DA-5 to DA-9</t>
  </si>
  <si>
    <t>TIME OF CONCENTRATION - DA-10</t>
  </si>
  <si>
    <t>`</t>
  </si>
  <si>
    <t>2a</t>
  </si>
  <si>
    <t>2b</t>
  </si>
  <si>
    <t>TIME OF CONCENTRATION - DA-2b</t>
  </si>
  <si>
    <t>TIME OF CONCENTRATION - DA-2a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</si>
</sst>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8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4" borderId="1" applyNumberFormat="0" applyAlignment="0" applyProtection="0"/>
    <xf numFmtId="0" fontId="3" fillId="5" borderId="1" applyNumberFormat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0" borderId="0" xfId="0" applyAlignment="1">
      <alignment horizontal="left"/>
    </xf>
    <xf numFmtId="0" fontId="2" fillId="4" borderId="1" xfId="1"/>
    <xf numFmtId="0" fontId="3" fillId="5" borderId="1" xfId="2"/>
    <xf numFmtId="0" fontId="0" fillId="0" borderId="2" xfId="0" applyBorder="1" applyAlignment="1">
      <alignment horizontal="center" vertical="center"/>
    </xf>
    <xf numFmtId="0" fontId="2" fillId="4" borderId="2" xfId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3" fillId="5" borderId="2" xfId="2" applyBorder="1"/>
    <xf numFmtId="2" fontId="1" fillId="0" borderId="0" xfId="0" applyNumberFormat="1" applyFont="1" applyAlignment="1">
      <alignment horizontal="center"/>
    </xf>
    <xf numFmtId="2" fontId="2" fillId="4" borderId="1" xfId="1" applyNumberFormat="1"/>
    <xf numFmtId="1" fontId="2" fillId="4" borderId="1" xfId="1" applyNumberFormat="1"/>
    <xf numFmtId="2" fontId="2" fillId="4" borderId="2" xfId="1" applyNumberFormat="1" applyBorder="1" applyAlignment="1">
      <alignment horizontal="center" vertical="center"/>
    </xf>
    <xf numFmtId="1" fontId="2" fillId="4" borderId="2" xfId="1" applyNumberFormat="1" applyBorder="1" applyAlignment="1">
      <alignment horizontal="center" vertical="center"/>
    </xf>
    <xf numFmtId="2" fontId="3" fillId="5" borderId="1" xfId="2" applyNumberFormat="1"/>
    <xf numFmtId="1" fontId="3" fillId="5" borderId="1" xfId="2" applyNumberFormat="1"/>
    <xf numFmtId="0" fontId="2" fillId="4" borderId="1" xfId="1" applyAlignment="1">
      <alignment horizontal="center"/>
    </xf>
    <xf numFmtId="2" fontId="2" fillId="4" borderId="1" xfId="1" applyNumberFormat="1" applyAlignment="1">
      <alignment horizontal="center"/>
    </xf>
    <xf numFmtId="165" fontId="3" fillId="5" borderId="1" xfId="2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3" fillId="0" borderId="0" xfId="2" applyNumberForma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2" fillId="4" borderId="1" xfId="1" applyNumberFormat="1"/>
    <xf numFmtId="164" fontId="3" fillId="5" borderId="1" xfId="2" applyNumberFormat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2" fillId="4" borderId="2" xfId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2" fillId="4" borderId="2" xfId="1" applyNumberFormat="1" applyBorder="1" applyAlignment="1">
      <alignment horizontal="center" vertical="center"/>
    </xf>
    <xf numFmtId="2" fontId="2" fillId="4" borderId="2" xfId="1" applyNumberFormat="1" applyBorder="1" applyAlignment="1">
      <alignment horizontal="center" vertical="center"/>
    </xf>
  </cellXfs>
  <cellStyles count="3">
    <cellStyle name="Calculation" xfId="2" builtinId="22"/>
    <cellStyle name="Input" xfId="1" builtinId="2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6146E-7F98-4405-8911-2EDCDDAFD3E5}">
  <dimension ref="A1:H46"/>
  <sheetViews>
    <sheetView workbookViewId="0">
      <selection activeCell="K16" sqref="K16"/>
    </sheetView>
  </sheetViews>
  <sheetFormatPr defaultRowHeight="14.5" x14ac:dyDescent="0.35"/>
  <cols>
    <col min="2" max="2" width="9.54296875" bestFit="1" customWidth="1"/>
    <col min="7" max="7" width="9.453125" customWidth="1"/>
  </cols>
  <sheetData>
    <row r="1" spans="1:8" x14ac:dyDescent="0.35">
      <c r="A1" t="s">
        <v>5</v>
      </c>
      <c r="E1" s="39" t="s">
        <v>72</v>
      </c>
      <c r="F1" s="39"/>
      <c r="G1" s="39"/>
      <c r="H1" s="30" t="e">
        <f>#REF!</f>
        <v>#REF!</v>
      </c>
    </row>
    <row r="2" spans="1:8" x14ac:dyDescent="0.35">
      <c r="E2" s="39" t="s">
        <v>73</v>
      </c>
      <c r="F2" s="39"/>
      <c r="G2" s="39"/>
      <c r="H2" s="30">
        <f>'ODOT ToC (DA 1)- Ramp S'!G45</f>
        <v>20.70549567377676</v>
      </c>
    </row>
    <row r="4" spans="1:8" x14ac:dyDescent="0.35">
      <c r="B4" s="1" t="s">
        <v>3</v>
      </c>
      <c r="C4" s="1" t="s">
        <v>0</v>
      </c>
      <c r="D4" s="1" t="s">
        <v>1</v>
      </c>
      <c r="E4" s="1" t="s">
        <v>2</v>
      </c>
      <c r="F4" s="40" t="s">
        <v>4</v>
      </c>
      <c r="G4" s="40"/>
      <c r="H4" s="40"/>
    </row>
    <row r="5" spans="1:8" x14ac:dyDescent="0.35">
      <c r="B5" s="1">
        <v>2</v>
      </c>
      <c r="C5" s="27">
        <v>46.183999999999997</v>
      </c>
      <c r="D5" s="28">
        <v>9</v>
      </c>
      <c r="E5" s="27">
        <v>0.85899999999999999</v>
      </c>
      <c r="F5" s="38" t="e">
        <f t="shared" ref="F5:F10" si="0">C5/(($H$1+D5)^E5)</f>
        <v>#REF!</v>
      </c>
      <c r="G5" s="38"/>
      <c r="H5" s="38"/>
    </row>
    <row r="6" spans="1:8" x14ac:dyDescent="0.35">
      <c r="B6" s="1">
        <v>5</v>
      </c>
      <c r="C6" s="27">
        <v>56.984999999999999</v>
      </c>
      <c r="D6" s="28">
        <v>10.25</v>
      </c>
      <c r="E6" s="27">
        <v>0.85099999999999998</v>
      </c>
      <c r="F6" s="38" t="e">
        <f t="shared" si="0"/>
        <v>#REF!</v>
      </c>
      <c r="G6" s="38"/>
      <c r="H6" s="38"/>
    </row>
    <row r="7" spans="1:8" x14ac:dyDescent="0.35">
      <c r="B7" s="1">
        <v>10</v>
      </c>
      <c r="C7" s="27">
        <v>64.167000000000002</v>
      </c>
      <c r="D7" s="28">
        <v>11</v>
      </c>
      <c r="E7" s="27">
        <v>0.84199999999999997</v>
      </c>
      <c r="F7" s="38" t="e">
        <f t="shared" si="0"/>
        <v>#REF!</v>
      </c>
      <c r="G7" s="38"/>
      <c r="H7" s="38"/>
    </row>
    <row r="8" spans="1:8" x14ac:dyDescent="0.35">
      <c r="B8" s="1">
        <v>25</v>
      </c>
      <c r="C8" s="27">
        <v>66.528000000000006</v>
      </c>
      <c r="D8" s="28">
        <v>11</v>
      </c>
      <c r="E8" s="27">
        <v>0.81100000000000005</v>
      </c>
      <c r="F8" s="38" t="e">
        <f t="shared" si="0"/>
        <v>#REF!</v>
      </c>
      <c r="G8" s="38"/>
      <c r="H8" s="38"/>
    </row>
    <row r="9" spans="1:8" x14ac:dyDescent="0.35">
      <c r="B9" s="1">
        <v>50</v>
      </c>
      <c r="C9" s="27">
        <v>65.701999999999998</v>
      </c>
      <c r="D9" s="28">
        <v>10.75</v>
      </c>
      <c r="E9" s="27">
        <v>0.78200000000000003</v>
      </c>
      <c r="F9" s="38" t="e">
        <f t="shared" si="0"/>
        <v>#REF!</v>
      </c>
      <c r="G9" s="38"/>
      <c r="H9" s="38"/>
    </row>
    <row r="10" spans="1:8" x14ac:dyDescent="0.35">
      <c r="B10" s="1">
        <v>100</v>
      </c>
      <c r="C10" s="27">
        <v>64.489000000000004</v>
      </c>
      <c r="D10" s="28">
        <v>10.5</v>
      </c>
      <c r="E10" s="27">
        <v>0.754</v>
      </c>
      <c r="F10" s="38" t="e">
        <f t="shared" si="0"/>
        <v>#REF!</v>
      </c>
      <c r="G10" s="38"/>
      <c r="H10" s="38"/>
    </row>
    <row r="12" spans="1:8" x14ac:dyDescent="0.35">
      <c r="B12" t="s">
        <v>70</v>
      </c>
      <c r="E12" t="s">
        <v>71</v>
      </c>
    </row>
    <row r="14" spans="1:8" x14ac:dyDescent="0.35">
      <c r="B14" s="12" t="s">
        <v>36</v>
      </c>
      <c r="E14" s="12" t="s">
        <v>36</v>
      </c>
      <c r="G14" s="12"/>
    </row>
    <row r="15" spans="1:8" x14ac:dyDescent="0.35">
      <c r="B15" s="12" t="s">
        <v>8</v>
      </c>
      <c r="C15" s="5" t="e">
        <f>#REF!</f>
        <v>#REF!</v>
      </c>
      <c r="E15" s="12" t="s">
        <v>8</v>
      </c>
      <c r="F15" s="5">
        <f>'ODOT ToC (DA 1)- Ramp S'!$C$15</f>
        <v>0.78921790126424063</v>
      </c>
      <c r="G15" s="12"/>
      <c r="H15" s="5"/>
    </row>
    <row r="16" spans="1:8" x14ac:dyDescent="0.35">
      <c r="B16" s="12" t="s">
        <v>33</v>
      </c>
      <c r="C16" s="5" t="e">
        <f>$F$6</f>
        <v>#REF!</v>
      </c>
      <c r="E16" s="12" t="s">
        <v>33</v>
      </c>
      <c r="F16" s="5" t="e">
        <f>$F$6</f>
        <v>#REF!</v>
      </c>
      <c r="G16" s="12"/>
      <c r="H16" s="5"/>
    </row>
    <row r="17" spans="2:8" x14ac:dyDescent="0.35">
      <c r="B17" s="12" t="s">
        <v>34</v>
      </c>
      <c r="C17" s="5" t="e">
        <f>#REF!</f>
        <v>#REF!</v>
      </c>
      <c r="E17" s="12" t="s">
        <v>34</v>
      </c>
      <c r="F17" s="5">
        <f>'ODOT ToC (DA 1)- Ramp S'!$B$3</f>
        <v>2.0803000000000003</v>
      </c>
      <c r="G17" s="12"/>
      <c r="H17" s="5"/>
    </row>
    <row r="18" spans="2:8" x14ac:dyDescent="0.35">
      <c r="B18" s="12" t="s">
        <v>35</v>
      </c>
      <c r="C18" s="29" t="e">
        <f>C15*C16*C17</f>
        <v>#REF!</v>
      </c>
      <c r="E18" s="12" t="s">
        <v>35</v>
      </c>
      <c r="F18" s="29" t="e">
        <f>F15*F16*F17</f>
        <v>#REF!</v>
      </c>
      <c r="G18" s="12"/>
      <c r="H18" s="31"/>
    </row>
    <row r="21" spans="2:8" x14ac:dyDescent="0.35">
      <c r="B21" s="12" t="s">
        <v>37</v>
      </c>
      <c r="E21" s="12" t="s">
        <v>37</v>
      </c>
      <c r="G21" s="12"/>
    </row>
    <row r="22" spans="2:8" x14ac:dyDescent="0.35">
      <c r="B22" s="12" t="s">
        <v>8</v>
      </c>
      <c r="C22" s="5" t="e">
        <f>#REF!</f>
        <v>#REF!</v>
      </c>
      <c r="E22" s="12" t="s">
        <v>8</v>
      </c>
      <c r="F22" s="5">
        <f>'ODOT ToC (DA 1)- Ramp S'!$C$15</f>
        <v>0.78921790126424063</v>
      </c>
      <c r="G22" s="12"/>
      <c r="H22" s="5"/>
    </row>
    <row r="23" spans="2:8" x14ac:dyDescent="0.35">
      <c r="B23" s="12" t="s">
        <v>33</v>
      </c>
      <c r="C23" s="5" t="e">
        <f>$F$7</f>
        <v>#REF!</v>
      </c>
      <c r="E23" s="12" t="s">
        <v>33</v>
      </c>
      <c r="F23" s="5" t="e">
        <f>$F$7</f>
        <v>#REF!</v>
      </c>
      <c r="G23" s="12"/>
      <c r="H23" s="5"/>
    </row>
    <row r="24" spans="2:8" x14ac:dyDescent="0.35">
      <c r="B24" s="12" t="s">
        <v>34</v>
      </c>
      <c r="C24" s="5" t="e">
        <f>#REF!</f>
        <v>#REF!</v>
      </c>
      <c r="E24" s="12" t="s">
        <v>34</v>
      </c>
      <c r="F24" s="5">
        <f>'ODOT ToC (DA 1)- Ramp S'!$B$3</f>
        <v>2.0803000000000003</v>
      </c>
      <c r="G24" s="12"/>
      <c r="H24" s="5"/>
    </row>
    <row r="25" spans="2:8" x14ac:dyDescent="0.35">
      <c r="B25" s="12" t="s">
        <v>35</v>
      </c>
      <c r="C25" s="29" t="e">
        <f>C22*C23*C24</f>
        <v>#REF!</v>
      </c>
      <c r="E25" s="12" t="s">
        <v>35</v>
      </c>
      <c r="F25" s="29" t="e">
        <f>F22*F23*F24</f>
        <v>#REF!</v>
      </c>
      <c r="G25" s="12"/>
      <c r="H25" s="31"/>
    </row>
    <row r="28" spans="2:8" x14ac:dyDescent="0.35">
      <c r="B28" s="12" t="s">
        <v>39</v>
      </c>
      <c r="E28" s="12" t="s">
        <v>39</v>
      </c>
      <c r="G28" s="12"/>
    </row>
    <row r="29" spans="2:8" x14ac:dyDescent="0.35">
      <c r="B29" s="12" t="s">
        <v>8</v>
      </c>
      <c r="C29" s="5" t="e">
        <f>#REF!</f>
        <v>#REF!</v>
      </c>
      <c r="E29" s="12" t="s">
        <v>8</v>
      </c>
      <c r="F29" s="5">
        <f>'ODOT ToC (DA 1)- Ramp S'!$C$15</f>
        <v>0.78921790126424063</v>
      </c>
      <c r="G29" s="12"/>
      <c r="H29" s="5"/>
    </row>
    <row r="30" spans="2:8" x14ac:dyDescent="0.35">
      <c r="B30" s="12" t="s">
        <v>33</v>
      </c>
      <c r="C30" s="5" t="e">
        <f>$F$9</f>
        <v>#REF!</v>
      </c>
      <c r="E30" s="12" t="s">
        <v>33</v>
      </c>
      <c r="F30" s="5" t="e">
        <f>$F$9</f>
        <v>#REF!</v>
      </c>
      <c r="G30" s="12"/>
      <c r="H30" s="5"/>
    </row>
    <row r="31" spans="2:8" x14ac:dyDescent="0.35">
      <c r="B31" s="12" t="s">
        <v>34</v>
      </c>
      <c r="C31" s="5" t="e">
        <f>#REF!</f>
        <v>#REF!</v>
      </c>
      <c r="E31" s="12" t="s">
        <v>34</v>
      </c>
      <c r="F31" s="5">
        <f>'ODOT ToC (DA 1)- Ramp S'!$B$3</f>
        <v>2.0803000000000003</v>
      </c>
      <c r="G31" s="12"/>
      <c r="H31" s="5"/>
    </row>
    <row r="32" spans="2:8" x14ac:dyDescent="0.35">
      <c r="B32" s="12" t="s">
        <v>35</v>
      </c>
      <c r="C32" s="29" t="e">
        <f>C29*C30*C31</f>
        <v>#REF!</v>
      </c>
      <c r="E32" s="12" t="s">
        <v>35</v>
      </c>
      <c r="F32" s="29" t="e">
        <f>F29*F30*F31</f>
        <v>#REF!</v>
      </c>
      <c r="G32" s="12"/>
      <c r="H32" s="31"/>
    </row>
    <row r="35" spans="2:8" x14ac:dyDescent="0.35">
      <c r="B35" s="12" t="s">
        <v>38</v>
      </c>
      <c r="E35" s="12" t="s">
        <v>38</v>
      </c>
      <c r="G35" s="12"/>
    </row>
    <row r="36" spans="2:8" x14ac:dyDescent="0.35">
      <c r="B36" s="12" t="s">
        <v>8</v>
      </c>
      <c r="C36" s="5" t="e">
        <f>#REF!</f>
        <v>#REF!</v>
      </c>
      <c r="E36" s="12" t="s">
        <v>8</v>
      </c>
      <c r="F36" s="5">
        <f>'ODOT ToC (DA 1)- Ramp S'!$C$15</f>
        <v>0.78921790126424063</v>
      </c>
      <c r="G36" s="12"/>
      <c r="H36" s="5"/>
    </row>
    <row r="37" spans="2:8" x14ac:dyDescent="0.35">
      <c r="B37" s="12" t="s">
        <v>33</v>
      </c>
      <c r="C37" s="5" t="e">
        <f>$F$8</f>
        <v>#REF!</v>
      </c>
      <c r="E37" s="12" t="s">
        <v>33</v>
      </c>
      <c r="F37" s="5" t="e">
        <f>$F$8</f>
        <v>#REF!</v>
      </c>
      <c r="G37" s="12"/>
      <c r="H37" s="5"/>
    </row>
    <row r="38" spans="2:8" x14ac:dyDescent="0.35">
      <c r="B38" s="12" t="s">
        <v>34</v>
      </c>
      <c r="C38" s="5" t="e">
        <f>#REF!</f>
        <v>#REF!</v>
      </c>
      <c r="E38" s="12" t="s">
        <v>34</v>
      </c>
      <c r="F38" s="5">
        <f>'ODOT ToC (DA 1)- Ramp S'!$B$3</f>
        <v>2.0803000000000003</v>
      </c>
      <c r="G38" s="12"/>
      <c r="H38" s="5"/>
    </row>
    <row r="39" spans="2:8" x14ac:dyDescent="0.35">
      <c r="B39" s="12" t="s">
        <v>35</v>
      </c>
      <c r="C39" s="29" t="e">
        <f>C36*C37*C38</f>
        <v>#REF!</v>
      </c>
      <c r="E39" s="12" t="s">
        <v>35</v>
      </c>
      <c r="F39" s="29" t="e">
        <f>F36*F37*F38</f>
        <v>#REF!</v>
      </c>
      <c r="G39" s="12"/>
      <c r="H39" s="31"/>
    </row>
    <row r="42" spans="2:8" x14ac:dyDescent="0.35">
      <c r="B42" s="12" t="s">
        <v>69</v>
      </c>
      <c r="E42" s="12" t="s">
        <v>69</v>
      </c>
      <c r="G42" s="12"/>
    </row>
    <row r="43" spans="2:8" x14ac:dyDescent="0.35">
      <c r="B43" s="12" t="s">
        <v>8</v>
      </c>
      <c r="C43" s="5" t="e">
        <f>#REF!</f>
        <v>#REF!</v>
      </c>
      <c r="E43" s="12" t="s">
        <v>8</v>
      </c>
      <c r="F43" s="5">
        <f>'ODOT ToC (DA 1)- Ramp S'!$C$15</f>
        <v>0.78921790126424063</v>
      </c>
      <c r="G43" s="12"/>
      <c r="H43" s="5"/>
    </row>
    <row r="44" spans="2:8" x14ac:dyDescent="0.35">
      <c r="B44" s="12" t="s">
        <v>33</v>
      </c>
      <c r="C44" s="5" t="e">
        <f>$F$10</f>
        <v>#REF!</v>
      </c>
      <c r="E44" s="12" t="s">
        <v>33</v>
      </c>
      <c r="F44" s="5" t="e">
        <f>$F$10</f>
        <v>#REF!</v>
      </c>
      <c r="G44" s="12"/>
      <c r="H44" s="5"/>
    </row>
    <row r="45" spans="2:8" x14ac:dyDescent="0.35">
      <c r="B45" s="12" t="s">
        <v>34</v>
      </c>
      <c r="C45" s="5" t="e">
        <f>#REF!</f>
        <v>#REF!</v>
      </c>
      <c r="E45" s="12" t="s">
        <v>34</v>
      </c>
      <c r="F45" s="5">
        <f>'ODOT ToC (DA 1)- Ramp S'!$B$3</f>
        <v>2.0803000000000003</v>
      </c>
      <c r="G45" s="12"/>
      <c r="H45" s="5"/>
    </row>
    <row r="46" spans="2:8" x14ac:dyDescent="0.35">
      <c r="B46" s="12" t="s">
        <v>35</v>
      </c>
      <c r="C46" s="29" t="e">
        <f>C43*C44*C45</f>
        <v>#REF!</v>
      </c>
      <c r="E46" s="12" t="s">
        <v>35</v>
      </c>
      <c r="F46" s="29" t="e">
        <f>F43*F44*F45</f>
        <v>#REF!</v>
      </c>
      <c r="G46" s="12"/>
      <c r="H46" s="31"/>
    </row>
  </sheetData>
  <mergeCells count="9">
    <mergeCell ref="F7:H7"/>
    <mergeCell ref="F10:H10"/>
    <mergeCell ref="F9:H9"/>
    <mergeCell ref="F8:H8"/>
    <mergeCell ref="E1:G1"/>
    <mergeCell ref="E2:G2"/>
    <mergeCell ref="F4:H4"/>
    <mergeCell ref="F5:H5"/>
    <mergeCell ref="F6:H6"/>
  </mergeCells>
  <phoneticPr fontId="4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2839-8B9C-4F1E-8646-367B6D4E8216}">
  <dimension ref="A1:I25"/>
  <sheetViews>
    <sheetView workbookViewId="0">
      <selection activeCell="A4" sqref="A4"/>
    </sheetView>
  </sheetViews>
  <sheetFormatPr defaultRowHeight="14.5" x14ac:dyDescent="0.35"/>
  <cols>
    <col min="3" max="3" width="10" customWidth="1"/>
  </cols>
  <sheetData>
    <row r="1" spans="1:9" x14ac:dyDescent="0.35">
      <c r="A1" t="s">
        <v>32</v>
      </c>
    </row>
    <row r="2" spans="1:9" x14ac:dyDescent="0.35">
      <c r="A2" t="s">
        <v>6</v>
      </c>
    </row>
    <row r="3" spans="1:9" x14ac:dyDescent="0.35">
      <c r="B3" t="s">
        <v>7</v>
      </c>
      <c r="C3" s="1">
        <v>300</v>
      </c>
    </row>
    <row r="4" spans="1:9" x14ac:dyDescent="0.35">
      <c r="B4" t="s">
        <v>22</v>
      </c>
      <c r="C4" s="1">
        <v>0.24</v>
      </c>
    </row>
    <row r="5" spans="1:9" x14ac:dyDescent="0.35">
      <c r="B5" t="s">
        <v>23</v>
      </c>
      <c r="C5" s="1">
        <v>0.03</v>
      </c>
    </row>
    <row r="6" spans="1:9" x14ac:dyDescent="0.35">
      <c r="B6" t="s">
        <v>24</v>
      </c>
      <c r="C6" s="1">
        <v>2.4</v>
      </c>
    </row>
    <row r="7" spans="1:9" x14ac:dyDescent="0.35">
      <c r="C7" s="1"/>
    </row>
    <row r="8" spans="1:9" x14ac:dyDescent="0.35">
      <c r="B8" t="s">
        <v>25</v>
      </c>
      <c r="C8" s="1"/>
      <c r="E8" s="4">
        <f>(0.007*((C4*C3)^0.8))/((C6^0.5)*(C5^0.4))</f>
        <v>0.56235416290641582</v>
      </c>
    </row>
    <row r="9" spans="1:9" x14ac:dyDescent="0.35">
      <c r="C9" s="1"/>
      <c r="E9" s="5"/>
    </row>
    <row r="10" spans="1:9" x14ac:dyDescent="0.35">
      <c r="A10" t="s">
        <v>9</v>
      </c>
      <c r="C10" s="1"/>
      <c r="E10" s="5"/>
    </row>
    <row r="11" spans="1:9" x14ac:dyDescent="0.35">
      <c r="B11" t="s">
        <v>7</v>
      </c>
      <c r="C11" s="1">
        <v>1145</v>
      </c>
      <c r="E11" s="5"/>
      <c r="I11" t="s">
        <v>27</v>
      </c>
    </row>
    <row r="12" spans="1:9" x14ac:dyDescent="0.35">
      <c r="B12" t="s">
        <v>26</v>
      </c>
      <c r="C12" s="1" t="s">
        <v>28</v>
      </c>
      <c r="E12" s="5"/>
      <c r="I12" t="s">
        <v>28</v>
      </c>
    </row>
    <row r="13" spans="1:9" x14ac:dyDescent="0.35">
      <c r="B13" t="s">
        <v>23</v>
      </c>
      <c r="C13" s="1">
        <v>1.2999999999999999E-2</v>
      </c>
      <c r="E13" s="5"/>
    </row>
    <row r="14" spans="1:9" x14ac:dyDescent="0.35">
      <c r="B14" t="s">
        <v>29</v>
      </c>
      <c r="C14" s="2">
        <f>IF(C12="unpaved",16.1345*(C13^0.5),20.3282*(C13^0.5))</f>
        <v>1.839616039626204</v>
      </c>
      <c r="E14" s="5"/>
    </row>
    <row r="15" spans="1:9" x14ac:dyDescent="0.35">
      <c r="E15" s="5"/>
    </row>
    <row r="16" spans="1:9" x14ac:dyDescent="0.35">
      <c r="B16" t="s">
        <v>30</v>
      </c>
      <c r="E16" s="4">
        <f>C11/(3600*C14)</f>
        <v>0.17289235835331271</v>
      </c>
    </row>
    <row r="17" spans="1:5" x14ac:dyDescent="0.35">
      <c r="E17" s="5"/>
    </row>
    <row r="18" spans="1:5" x14ac:dyDescent="0.35">
      <c r="A18" t="s">
        <v>10</v>
      </c>
      <c r="E18" s="5"/>
    </row>
    <row r="19" spans="1:5" x14ac:dyDescent="0.35">
      <c r="B19" t="s">
        <v>7</v>
      </c>
      <c r="C19" s="1">
        <v>5115</v>
      </c>
      <c r="E19" s="5"/>
    </row>
    <row r="20" spans="1:5" x14ac:dyDescent="0.35">
      <c r="B20" t="s">
        <v>11</v>
      </c>
      <c r="C20" s="1">
        <v>8</v>
      </c>
      <c r="E20" s="5"/>
    </row>
    <row r="21" spans="1:5" x14ac:dyDescent="0.35">
      <c r="E21" s="5"/>
    </row>
    <row r="22" spans="1:5" x14ac:dyDescent="0.35">
      <c r="B22" t="s">
        <v>12</v>
      </c>
      <c r="E22" s="4">
        <f>C19/(3600*C20)</f>
        <v>0.17760416666666667</v>
      </c>
    </row>
    <row r="23" spans="1:5" x14ac:dyDescent="0.35">
      <c r="E23" s="5"/>
    </row>
    <row r="24" spans="1:5" x14ac:dyDescent="0.35">
      <c r="A24" t="s">
        <v>31</v>
      </c>
      <c r="E24" s="6">
        <f>E8+E16+E22</f>
        <v>0.91285068792639523</v>
      </c>
    </row>
    <row r="25" spans="1:5" x14ac:dyDescent="0.35">
      <c r="A25" t="s">
        <v>13</v>
      </c>
      <c r="E25" s="6">
        <f>E24*60</f>
        <v>54.771041275583713</v>
      </c>
    </row>
  </sheetData>
  <dataValidations count="1">
    <dataValidation type="list" allowBlank="1" showInputMessage="1" showErrorMessage="1" sqref="C12" xr:uid="{5A6614FD-9B61-474C-A053-2C0C7DCE9C0D}">
      <formula1>$I$11:$I$12</formula1>
    </dataValidation>
  </dataValidations>
  <pageMargins left="0.7" right="0.7" top="0.75" bottom="0.75" header="0.3" footer="0.3"/>
  <pageSetup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CA085-6406-4A00-99C2-85A34D901CE5}">
  <dimension ref="B2:H20"/>
  <sheetViews>
    <sheetView workbookViewId="0">
      <selection activeCell="E4" sqref="E4"/>
    </sheetView>
  </sheetViews>
  <sheetFormatPr defaultRowHeight="14.5" x14ac:dyDescent="0.35"/>
  <cols>
    <col min="4" max="4" width="18.7265625" customWidth="1"/>
    <col min="5" max="5" width="24.453125" customWidth="1"/>
  </cols>
  <sheetData>
    <row r="2" spans="2:5" ht="37" x14ac:dyDescent="0.35">
      <c r="B2" s="32" t="s">
        <v>75</v>
      </c>
      <c r="C2" s="32" t="s">
        <v>76</v>
      </c>
      <c r="D2" s="32" t="s">
        <v>77</v>
      </c>
      <c r="E2" s="32" t="s">
        <v>40</v>
      </c>
    </row>
    <row r="3" spans="2:5" ht="18.5" x14ac:dyDescent="0.35">
      <c r="B3" s="33">
        <v>1</v>
      </c>
      <c r="C3" s="34">
        <f>'ODOT ToC (DA 1)- Ramp S'!B3</f>
        <v>2.0803000000000003</v>
      </c>
      <c r="D3" s="34">
        <f>'ODOT ToC (DA 1)- Ramp S'!C15</f>
        <v>0.78921790126424063</v>
      </c>
      <c r="E3" s="35">
        <f>'ODOT ToC (DA 1)- Ramp S'!G45</f>
        <v>20.70549567377676</v>
      </c>
    </row>
    <row r="4" spans="2:5" ht="18.5" x14ac:dyDescent="0.35">
      <c r="B4" s="33" t="s">
        <v>83</v>
      </c>
      <c r="C4" s="34">
        <f>'ODOT ToC (DA 2a)- Ramp S'!B3</f>
        <v>2.4163999999999999</v>
      </c>
      <c r="D4" s="34">
        <f>'ODOT ToC (DA 2a)- Ramp S'!C15</f>
        <v>0.71320145671246482</v>
      </c>
      <c r="E4" s="35">
        <f>'ODOT ToC (DA 2a)- Ramp S'!G45</f>
        <v>20.289674372299658</v>
      </c>
    </row>
    <row r="5" spans="2:5" ht="18.5" x14ac:dyDescent="0.35">
      <c r="B5" s="33" t="s">
        <v>84</v>
      </c>
      <c r="C5" s="34">
        <f>'ODOT ToC (DA 2b)- Ramp S'!B3</f>
        <v>0.62640000000000007</v>
      </c>
      <c r="D5" s="34">
        <f>'ODOT ToC (DA 2b)- Ramp S'!C15</f>
        <v>0.70502873563218382</v>
      </c>
      <c r="E5" s="35">
        <f>'ODOT ToC (DA 2b)- Ramp S'!G45</f>
        <v>15</v>
      </c>
    </row>
    <row r="8" spans="2:5" ht="37" x14ac:dyDescent="0.35">
      <c r="B8" s="32" t="s">
        <v>75</v>
      </c>
      <c r="C8" s="32" t="s">
        <v>76</v>
      </c>
      <c r="D8" s="32" t="s">
        <v>77</v>
      </c>
      <c r="E8" s="32" t="s">
        <v>40</v>
      </c>
    </row>
    <row r="9" spans="2:5" ht="18.5" x14ac:dyDescent="0.35">
      <c r="B9" s="33">
        <v>3</v>
      </c>
      <c r="C9" s="34">
        <f>'ODOT ToC (DA 3)- Truck Parking'!E15</f>
        <v>0.25509999999999999</v>
      </c>
      <c r="D9" s="34">
        <f>'ODOT ToC (DA 3)- Truck Parking'!C15</f>
        <v>0.9</v>
      </c>
      <c r="E9" s="35">
        <f>'ODOT ToC (DA 3)- Truck Parking'!G34</f>
        <v>10</v>
      </c>
    </row>
    <row r="10" spans="2:5" ht="18.5" x14ac:dyDescent="0.35">
      <c r="B10" s="33">
        <v>4</v>
      </c>
      <c r="C10" s="34">
        <f>'ODOT ToC (DA5-DA9)-Truck Park'!$E$15</f>
        <v>0.23569999999999999</v>
      </c>
      <c r="D10" s="34">
        <f>'ODOT ToC (DA5-DA9)-Truck Park'!$C$15</f>
        <v>0.89999999999999991</v>
      </c>
      <c r="E10" s="35">
        <f>'ODOT ToC (DA5-DA9)-Truck Park'!$G$34</f>
        <v>10</v>
      </c>
    </row>
    <row r="11" spans="2:5" ht="18.5" x14ac:dyDescent="0.35">
      <c r="B11" s="33">
        <v>5</v>
      </c>
      <c r="C11" s="34">
        <f>'ODOT ToC (DA5-DA9)-Truck Park'!$E$15</f>
        <v>0.23569999999999999</v>
      </c>
      <c r="D11" s="34">
        <f>'ODOT ToC (DA5-DA9)-Truck Park'!$C$15</f>
        <v>0.89999999999999991</v>
      </c>
      <c r="E11" s="35">
        <f>'ODOT ToC (DA5-DA9)-Truck Park'!$G$34</f>
        <v>10</v>
      </c>
    </row>
    <row r="12" spans="2:5" ht="18.5" x14ac:dyDescent="0.35">
      <c r="B12" s="33">
        <v>6</v>
      </c>
      <c r="C12" s="34">
        <f>'ODOT ToC (DA5-DA9)-Truck Park'!$E$15</f>
        <v>0.23569999999999999</v>
      </c>
      <c r="D12" s="34">
        <f>'ODOT ToC (DA5-DA9)-Truck Park'!$C$15</f>
        <v>0.89999999999999991</v>
      </c>
      <c r="E12" s="35">
        <f>'ODOT ToC (DA5-DA9)-Truck Park'!$G$34</f>
        <v>10</v>
      </c>
    </row>
    <row r="13" spans="2:5" ht="18.5" x14ac:dyDescent="0.35">
      <c r="B13" s="33">
        <v>7</v>
      </c>
      <c r="C13" s="34">
        <f>'ODOT ToC (DA5-DA9)-Truck Park'!$E$15</f>
        <v>0.23569999999999999</v>
      </c>
      <c r="D13" s="34">
        <f>'ODOT ToC (DA5-DA9)-Truck Park'!$C$15</f>
        <v>0.89999999999999991</v>
      </c>
      <c r="E13" s="35">
        <f>'ODOT ToC (DA5-DA9)-Truck Park'!$G$34</f>
        <v>10</v>
      </c>
    </row>
    <row r="14" spans="2:5" ht="18.5" x14ac:dyDescent="0.35">
      <c r="B14" s="33">
        <v>8</v>
      </c>
      <c r="C14" s="34">
        <f>'ODOT ToC (DA5-DA9)-Truck Park'!$E$15</f>
        <v>0.23569999999999999</v>
      </c>
      <c r="D14" s="34">
        <f>'ODOT ToC (DA5-DA9)-Truck Park'!$C$15</f>
        <v>0.89999999999999991</v>
      </c>
      <c r="E14" s="35">
        <f>'ODOT ToC (DA5-DA9)-Truck Park'!$G$34</f>
        <v>10</v>
      </c>
    </row>
    <row r="15" spans="2:5" ht="18.5" x14ac:dyDescent="0.35">
      <c r="B15" s="33">
        <v>9</v>
      </c>
      <c r="C15" s="34">
        <f>'ODOT ToC (DA5-DA9)-Truck Park'!$E$15</f>
        <v>0.23569999999999999</v>
      </c>
      <c r="D15" s="34">
        <f>'ODOT ToC (DA5-DA9)-Truck Park'!$C$15</f>
        <v>0.89999999999999991</v>
      </c>
      <c r="E15" s="35">
        <f>'ODOT ToC (DA5-DA9)-Truck Park'!$G$34</f>
        <v>10</v>
      </c>
    </row>
    <row r="16" spans="2:5" ht="18.5" x14ac:dyDescent="0.35">
      <c r="B16" s="33">
        <v>10</v>
      </c>
      <c r="C16" s="34">
        <f>'ODOT ToC (DA 10)-Truck Parking'!E15</f>
        <v>0.45450000000000002</v>
      </c>
      <c r="D16" s="34">
        <f>'ODOT ToC (DA 10)-Truck Parking'!C15</f>
        <v>0.9</v>
      </c>
      <c r="E16" s="35">
        <f>'ODOT ToC (DA 10)-Truck Parking'!G34</f>
        <v>10</v>
      </c>
    </row>
    <row r="17" spans="2:8" ht="18.5" x14ac:dyDescent="0.35">
      <c r="B17" s="36"/>
    </row>
    <row r="18" spans="2:8" ht="18.5" x14ac:dyDescent="0.35">
      <c r="B18" s="36"/>
    </row>
    <row r="19" spans="2:8" ht="18.5" x14ac:dyDescent="0.35">
      <c r="B19" s="36"/>
    </row>
    <row r="20" spans="2:8" ht="18.5" x14ac:dyDescent="0.35">
      <c r="B20" s="36"/>
      <c r="H20" t="s">
        <v>82</v>
      </c>
    </row>
  </sheetData>
  <pageMargins left="0.7" right="0.7" top="0.75" bottom="0.75" header="0.3" footer="0.3"/>
  <pageSetup paperSize="256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CCC8B-F725-47A5-855E-EA3EC19488CB}">
  <dimension ref="A1:X45"/>
  <sheetViews>
    <sheetView view="pageBreakPreview" zoomScale="90" zoomScaleNormal="100" zoomScaleSheetLayoutView="90" workbookViewId="0">
      <selection activeCell="M50" sqref="M50"/>
    </sheetView>
  </sheetViews>
  <sheetFormatPr defaultRowHeight="14.5" x14ac:dyDescent="0.35"/>
  <cols>
    <col min="1" max="1" width="20.453125" customWidth="1"/>
    <col min="2" max="2" width="9.54296875" bestFit="1" customWidth="1"/>
    <col min="3" max="3" width="11" bestFit="1" customWidth="1"/>
    <col min="4" max="4" width="10" bestFit="1" customWidth="1"/>
    <col min="5" max="5" width="9.54296875" bestFit="1" customWidth="1"/>
    <col min="6" max="6" width="10.1796875" bestFit="1" customWidth="1"/>
    <col min="7" max="7" width="15" bestFit="1" customWidth="1"/>
    <col min="8" max="8" width="13.7265625" customWidth="1"/>
  </cols>
  <sheetData>
    <row r="1" spans="1:24" x14ac:dyDescent="0.35">
      <c r="A1" s="41" t="s">
        <v>74</v>
      </c>
      <c r="B1" s="41"/>
      <c r="C1" s="41"/>
      <c r="D1" s="41"/>
      <c r="E1" s="41"/>
      <c r="F1" s="41"/>
      <c r="G1" s="41"/>
    </row>
    <row r="2" spans="1:24" x14ac:dyDescent="0.35">
      <c r="A2" t="s">
        <v>41</v>
      </c>
      <c r="B2" s="7">
        <v>122880</v>
      </c>
    </row>
    <row r="3" spans="1:24" x14ac:dyDescent="0.35">
      <c r="A3" t="s">
        <v>42</v>
      </c>
      <c r="B3" s="10">
        <f>E15</f>
        <v>2.0803000000000003</v>
      </c>
    </row>
    <row r="4" spans="1:24" x14ac:dyDescent="0.35">
      <c r="B4" s="7"/>
      <c r="D4" t="s">
        <v>43</v>
      </c>
      <c r="E4" t="s">
        <v>44</v>
      </c>
      <c r="G4" t="s">
        <v>45</v>
      </c>
    </row>
    <row r="5" spans="1:24" x14ac:dyDescent="0.35">
      <c r="B5" s="7"/>
      <c r="C5" t="s">
        <v>47</v>
      </c>
      <c r="D5">
        <v>0.3</v>
      </c>
      <c r="E5" s="21"/>
      <c r="G5" s="25">
        <f>D5*E5</f>
        <v>0</v>
      </c>
    </row>
    <row r="6" spans="1:24" x14ac:dyDescent="0.35">
      <c r="B6" s="7"/>
      <c r="D6">
        <v>0.35</v>
      </c>
      <c r="E6" s="21"/>
      <c r="G6" s="25">
        <f t="shared" ref="G6:G14" si="0">D6*E6</f>
        <v>0</v>
      </c>
    </row>
    <row r="7" spans="1:24" x14ac:dyDescent="0.35">
      <c r="D7">
        <v>0.4</v>
      </c>
      <c r="E7" s="21"/>
      <c r="G7" s="25">
        <f t="shared" si="0"/>
        <v>0</v>
      </c>
    </row>
    <row r="8" spans="1:24" x14ac:dyDescent="0.35">
      <c r="D8">
        <v>0.45</v>
      </c>
      <c r="E8" s="21"/>
      <c r="G8" s="25">
        <f t="shared" si="0"/>
        <v>0</v>
      </c>
    </row>
    <row r="9" spans="1:24" x14ac:dyDescent="0.35">
      <c r="C9" t="s">
        <v>46</v>
      </c>
      <c r="D9">
        <v>0.5</v>
      </c>
      <c r="E9" s="21"/>
      <c r="G9" s="25">
        <f t="shared" si="0"/>
        <v>0</v>
      </c>
    </row>
    <row r="10" spans="1:24" x14ac:dyDescent="0.35">
      <c r="D10">
        <v>0.55000000000000004</v>
      </c>
      <c r="E10" s="21"/>
      <c r="G10" s="25">
        <f t="shared" si="0"/>
        <v>0</v>
      </c>
    </row>
    <row r="11" spans="1:24" x14ac:dyDescent="0.35">
      <c r="C11" t="s">
        <v>49</v>
      </c>
      <c r="D11">
        <v>0.6</v>
      </c>
      <c r="E11" s="21">
        <f>0.7682</f>
        <v>0.76819999999999999</v>
      </c>
      <c r="G11" s="25">
        <f t="shared" si="0"/>
        <v>0.46092</v>
      </c>
      <c r="Q11" s="3"/>
    </row>
    <row r="12" spans="1:24" x14ac:dyDescent="0.35">
      <c r="D12">
        <v>0.65</v>
      </c>
      <c r="E12" s="21"/>
      <c r="G12" s="25">
        <f t="shared" si="0"/>
        <v>0</v>
      </c>
      <c r="Q12" s="3"/>
    </row>
    <row r="13" spans="1:24" x14ac:dyDescent="0.35">
      <c r="D13">
        <v>0.7</v>
      </c>
      <c r="E13" s="21"/>
      <c r="G13" s="25">
        <f t="shared" si="0"/>
        <v>0</v>
      </c>
      <c r="Q13" s="3"/>
      <c r="X13" s="3"/>
    </row>
    <row r="14" spans="1:24" x14ac:dyDescent="0.35">
      <c r="C14" t="s">
        <v>48</v>
      </c>
      <c r="D14">
        <v>0.9</v>
      </c>
      <c r="E14" s="21">
        <f>0.6116+0.7005</f>
        <v>1.3121</v>
      </c>
      <c r="G14" s="25">
        <f t="shared" si="0"/>
        <v>1.18089</v>
      </c>
      <c r="Q14" s="3"/>
      <c r="X14" s="3"/>
    </row>
    <row r="15" spans="1:24" x14ac:dyDescent="0.35">
      <c r="A15" t="s">
        <v>52</v>
      </c>
      <c r="C15" s="25">
        <f>G15/E15</f>
        <v>0.78921790126424063</v>
      </c>
      <c r="D15" t="s">
        <v>50</v>
      </c>
      <c r="E15" s="25">
        <f>SUM(E5:E14)</f>
        <v>2.0803000000000003</v>
      </c>
      <c r="F15" t="s">
        <v>51</v>
      </c>
      <c r="G15" s="25">
        <f>SUM(G5:G14)</f>
        <v>1.64181</v>
      </c>
      <c r="Q15" s="3"/>
      <c r="X15" s="3"/>
    </row>
    <row r="16" spans="1:24" x14ac:dyDescent="0.35">
      <c r="Q16" s="3"/>
      <c r="X16" s="3"/>
    </row>
    <row r="17" spans="1:24" ht="15" customHeight="1" x14ac:dyDescent="0.35">
      <c r="A17" s="43" t="s">
        <v>64</v>
      </c>
      <c r="B17" s="43"/>
      <c r="C17" s="43"/>
      <c r="Q17" s="3"/>
      <c r="X17" s="3"/>
    </row>
    <row r="18" spans="1:24" x14ac:dyDescent="0.35">
      <c r="A18" s="15" t="s">
        <v>65</v>
      </c>
      <c r="B18" s="43" t="s">
        <v>66</v>
      </c>
      <c r="C18" s="43"/>
      <c r="Q18" s="3"/>
      <c r="X18" s="3"/>
    </row>
    <row r="19" spans="1:24" x14ac:dyDescent="0.35">
      <c r="A19" s="16">
        <v>1166</v>
      </c>
      <c r="B19" s="44">
        <v>1164</v>
      </c>
      <c r="C19" s="44"/>
      <c r="Q19" s="3"/>
    </row>
    <row r="20" spans="1:24" x14ac:dyDescent="0.35">
      <c r="A20" s="7"/>
      <c r="B20" s="7"/>
      <c r="Q20" s="3"/>
    </row>
    <row r="21" spans="1:24" x14ac:dyDescent="0.35">
      <c r="A21" s="45" t="s">
        <v>68</v>
      </c>
      <c r="B21" s="46"/>
      <c r="C21" s="46"/>
      <c r="Q21" s="3"/>
    </row>
    <row r="22" spans="1:24" x14ac:dyDescent="0.35">
      <c r="A22" s="15" t="s">
        <v>65</v>
      </c>
      <c r="B22" s="43" t="s">
        <v>66</v>
      </c>
      <c r="C22" s="43"/>
      <c r="Q22" s="3"/>
    </row>
    <row r="23" spans="1:24" x14ac:dyDescent="0.35">
      <c r="A23" s="24"/>
      <c r="B23" s="47"/>
      <c r="C23" s="47"/>
      <c r="Q23" s="3"/>
    </row>
    <row r="24" spans="1:24" x14ac:dyDescent="0.35">
      <c r="A24" s="7"/>
      <c r="B24" s="7"/>
      <c r="Q24" s="3"/>
    </row>
    <row r="25" spans="1:24" x14ac:dyDescent="0.35">
      <c r="A25" s="43" t="s">
        <v>67</v>
      </c>
      <c r="B25" s="43"/>
      <c r="C25" s="43"/>
      <c r="Q25" s="3"/>
    </row>
    <row r="26" spans="1:24" x14ac:dyDescent="0.35">
      <c r="A26" s="15" t="s">
        <v>65</v>
      </c>
      <c r="B26" s="43" t="s">
        <v>66</v>
      </c>
      <c r="C26" s="43"/>
      <c r="Q26" s="20"/>
    </row>
    <row r="27" spans="1:24" x14ac:dyDescent="0.35">
      <c r="A27" s="16">
        <v>1164</v>
      </c>
      <c r="B27" s="48">
        <v>1159.79</v>
      </c>
      <c r="C27" s="48"/>
    </row>
    <row r="29" spans="1:24" x14ac:dyDescent="0.35">
      <c r="A29" t="s">
        <v>53</v>
      </c>
      <c r="C29" t="s">
        <v>54</v>
      </c>
      <c r="E29" t="s">
        <v>55</v>
      </c>
      <c r="G29" t="s">
        <v>63</v>
      </c>
    </row>
    <row r="30" spans="1:24" ht="15" customHeight="1" x14ac:dyDescent="0.35"/>
    <row r="31" spans="1:24" x14ac:dyDescent="0.35">
      <c r="A31" t="s">
        <v>56</v>
      </c>
      <c r="C31" s="13">
        <v>300</v>
      </c>
      <c r="E31" s="22">
        <v>1E-3</v>
      </c>
      <c r="G31" s="13">
        <v>683</v>
      </c>
    </row>
    <row r="33" spans="1:7" x14ac:dyDescent="0.35">
      <c r="A33" t="s">
        <v>57</v>
      </c>
      <c r="C33" s="25">
        <f>((A19-B19)/C31)*100</f>
        <v>0.66666666666666674</v>
      </c>
      <c r="E33" s="14">
        <f>((A23-B23)/E31)*100</f>
        <v>0</v>
      </c>
      <c r="G33" s="25">
        <f>((A27-B27)/G31)*100</f>
        <v>0.61639824304539326</v>
      </c>
    </row>
    <row r="35" spans="1:7" x14ac:dyDescent="0.35">
      <c r="A35" t="s">
        <v>58</v>
      </c>
      <c r="E35" s="22">
        <v>1E-4</v>
      </c>
      <c r="G35" s="13">
        <v>0.45700000000000002</v>
      </c>
    </row>
    <row r="37" spans="1:7" x14ac:dyDescent="0.35">
      <c r="A37" t="s">
        <v>59</v>
      </c>
      <c r="E37" s="26">
        <f>3.3*E35*(E33^0.5)</f>
        <v>0</v>
      </c>
      <c r="G37" s="25">
        <f>3.3*G35*(G33^0.5)</f>
        <v>1.1840249009403747</v>
      </c>
    </row>
    <row r="39" spans="1:7" x14ac:dyDescent="0.35">
      <c r="A39" s="42" t="s">
        <v>60</v>
      </c>
      <c r="C39" s="14">
        <f>(1.8*(1.1-C15)*(C31^0.5))/(C33^(1/3))</f>
        <v>11.091396068023135</v>
      </c>
      <c r="E39" s="14">
        <v>0</v>
      </c>
      <c r="G39" s="25">
        <f>G31/(60*G37)</f>
        <v>9.6140996057536263</v>
      </c>
    </row>
    <row r="40" spans="1:7" ht="15" customHeight="1" x14ac:dyDescent="0.35">
      <c r="A40" s="42"/>
    </row>
    <row r="42" spans="1:7" x14ac:dyDescent="0.35">
      <c r="A42" s="42" t="s">
        <v>61</v>
      </c>
      <c r="G42" s="25">
        <f>C39+E39+G39</f>
        <v>20.70549567377676</v>
      </c>
    </row>
    <row r="43" spans="1:7" x14ac:dyDescent="0.35">
      <c r="A43" s="42"/>
    </row>
    <row r="45" spans="1:7" x14ac:dyDescent="0.35">
      <c r="A45" s="17" t="s">
        <v>62</v>
      </c>
      <c r="B45" s="18"/>
      <c r="C45" s="19">
        <v>15</v>
      </c>
      <c r="G45" s="26">
        <f>IF(G42&gt;C45, G42, C45)</f>
        <v>20.70549567377676</v>
      </c>
    </row>
  </sheetData>
  <mergeCells count="12">
    <mergeCell ref="A1:G1"/>
    <mergeCell ref="A42:A43"/>
    <mergeCell ref="A17:C17"/>
    <mergeCell ref="B18:C18"/>
    <mergeCell ref="B19:C19"/>
    <mergeCell ref="A21:C21"/>
    <mergeCell ref="B22:C22"/>
    <mergeCell ref="B23:C23"/>
    <mergeCell ref="A25:C25"/>
    <mergeCell ref="B26:C26"/>
    <mergeCell ref="B27:C27"/>
    <mergeCell ref="A39:A4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EDE9F-2F71-407F-9B31-EA3426CBDAE8}">
  <dimension ref="A1:X45"/>
  <sheetViews>
    <sheetView view="pageBreakPreview" topLeftCell="A4" zoomScale="90" zoomScaleNormal="100" zoomScaleSheetLayoutView="90" workbookViewId="0">
      <selection activeCell="E15" sqref="E15"/>
    </sheetView>
  </sheetViews>
  <sheetFormatPr defaultRowHeight="14.5" x14ac:dyDescent="0.35"/>
  <cols>
    <col min="1" max="1" width="20.453125" customWidth="1"/>
    <col min="2" max="2" width="9.54296875" bestFit="1" customWidth="1"/>
    <col min="3" max="3" width="11" bestFit="1" customWidth="1"/>
    <col min="4" max="4" width="10" bestFit="1" customWidth="1"/>
    <col min="5" max="5" width="9.54296875" bestFit="1" customWidth="1"/>
    <col min="6" max="6" width="10.1796875" bestFit="1" customWidth="1"/>
    <col min="7" max="7" width="15" bestFit="1" customWidth="1"/>
    <col min="8" max="8" width="13.7265625" customWidth="1"/>
  </cols>
  <sheetData>
    <row r="1" spans="1:24" x14ac:dyDescent="0.35">
      <c r="A1" s="41" t="s">
        <v>86</v>
      </c>
      <c r="B1" s="41"/>
      <c r="C1" s="41"/>
      <c r="D1" s="41"/>
      <c r="E1" s="41"/>
      <c r="F1" s="41"/>
      <c r="G1" s="41"/>
    </row>
    <row r="2" spans="1:24" x14ac:dyDescent="0.35">
      <c r="A2" t="s">
        <v>41</v>
      </c>
      <c r="B2" s="7">
        <v>122880</v>
      </c>
    </row>
    <row r="3" spans="1:24" x14ac:dyDescent="0.35">
      <c r="A3" t="s">
        <v>42</v>
      </c>
      <c r="B3" s="10">
        <f>E15</f>
        <v>2.4163999999999999</v>
      </c>
    </row>
    <row r="4" spans="1:24" x14ac:dyDescent="0.35">
      <c r="B4" s="7"/>
      <c r="D4" t="s">
        <v>43</v>
      </c>
      <c r="E4" t="s">
        <v>44</v>
      </c>
      <c r="G4" t="s">
        <v>45</v>
      </c>
    </row>
    <row r="5" spans="1:24" x14ac:dyDescent="0.35">
      <c r="B5" s="7"/>
      <c r="C5" t="s">
        <v>47</v>
      </c>
      <c r="D5">
        <v>0.3</v>
      </c>
      <c r="E5" s="21"/>
      <c r="G5" s="25">
        <f>D5*E5</f>
        <v>0</v>
      </c>
    </row>
    <row r="6" spans="1:24" x14ac:dyDescent="0.35">
      <c r="D6">
        <v>0.35</v>
      </c>
      <c r="E6" s="21"/>
      <c r="G6" s="25">
        <f t="shared" ref="G6:G14" si="0">D6*E6</f>
        <v>0</v>
      </c>
    </row>
    <row r="7" spans="1:24" x14ac:dyDescent="0.35">
      <c r="D7">
        <v>0.4</v>
      </c>
      <c r="E7" s="21"/>
      <c r="G7" s="25">
        <f t="shared" si="0"/>
        <v>0</v>
      </c>
    </row>
    <row r="8" spans="1:24" x14ac:dyDescent="0.35">
      <c r="D8">
        <v>0.45</v>
      </c>
      <c r="E8" s="21"/>
      <c r="G8" s="25">
        <f t="shared" si="0"/>
        <v>0</v>
      </c>
    </row>
    <row r="9" spans="1:24" x14ac:dyDescent="0.35">
      <c r="C9" t="s">
        <v>46</v>
      </c>
      <c r="D9">
        <v>0.5</v>
      </c>
      <c r="E9" s="21"/>
      <c r="G9" s="25">
        <f t="shared" si="0"/>
        <v>0</v>
      </c>
    </row>
    <row r="10" spans="1:24" x14ac:dyDescent="0.35">
      <c r="D10">
        <v>0.55000000000000004</v>
      </c>
      <c r="E10" s="21"/>
      <c r="G10" s="25">
        <f t="shared" si="0"/>
        <v>0</v>
      </c>
    </row>
    <row r="11" spans="1:24" x14ac:dyDescent="0.35">
      <c r="C11" t="s">
        <v>49</v>
      </c>
      <c r="D11">
        <v>0.6</v>
      </c>
      <c r="E11" s="21">
        <v>1.5045999999999999</v>
      </c>
      <c r="G11" s="25">
        <f t="shared" si="0"/>
        <v>0.9027599999999999</v>
      </c>
      <c r="Q11" s="3"/>
    </row>
    <row r="12" spans="1:24" x14ac:dyDescent="0.35">
      <c r="D12">
        <v>0.65</v>
      </c>
      <c r="E12" s="21"/>
      <c r="G12" s="25">
        <f t="shared" si="0"/>
        <v>0</v>
      </c>
      <c r="Q12" s="3"/>
    </row>
    <row r="13" spans="1:24" x14ac:dyDescent="0.35">
      <c r="D13">
        <v>0.7</v>
      </c>
      <c r="E13" s="21"/>
      <c r="G13" s="25">
        <f t="shared" si="0"/>
        <v>0</v>
      </c>
      <c r="Q13" s="3"/>
      <c r="X13" s="3"/>
    </row>
    <row r="14" spans="1:24" x14ac:dyDescent="0.35">
      <c r="C14" t="s">
        <v>48</v>
      </c>
      <c r="D14">
        <v>0.9</v>
      </c>
      <c r="E14" s="21">
        <v>0.91180000000000005</v>
      </c>
      <c r="G14" s="25">
        <f t="shared" si="0"/>
        <v>0.82062000000000002</v>
      </c>
      <c r="Q14" s="3"/>
      <c r="X14" s="3"/>
    </row>
    <row r="15" spans="1:24" x14ac:dyDescent="0.35">
      <c r="A15" t="s">
        <v>52</v>
      </c>
      <c r="C15" s="25">
        <f>G15/E15</f>
        <v>0.71320145671246482</v>
      </c>
      <c r="D15" t="s">
        <v>50</v>
      </c>
      <c r="E15" s="25">
        <f>SUM(E5:E14)</f>
        <v>2.4163999999999999</v>
      </c>
      <c r="F15" t="s">
        <v>51</v>
      </c>
      <c r="G15" s="25">
        <f>SUM(G5:G14)</f>
        <v>1.7233799999999999</v>
      </c>
      <c r="Q15" s="3"/>
      <c r="X15" s="3"/>
    </row>
    <row r="16" spans="1:24" x14ac:dyDescent="0.35">
      <c r="Q16" s="3"/>
      <c r="X16" s="3"/>
    </row>
    <row r="17" spans="1:24" ht="15" customHeight="1" x14ac:dyDescent="0.35">
      <c r="A17" s="43" t="s">
        <v>64</v>
      </c>
      <c r="B17" s="43"/>
      <c r="C17" s="43"/>
      <c r="Q17" s="3"/>
      <c r="X17" s="3"/>
    </row>
    <row r="18" spans="1:24" x14ac:dyDescent="0.35">
      <c r="A18" s="15" t="s">
        <v>65</v>
      </c>
      <c r="B18" s="43" t="s">
        <v>66</v>
      </c>
      <c r="C18" s="43"/>
      <c r="Q18" s="3"/>
      <c r="X18" s="3"/>
    </row>
    <row r="19" spans="1:24" x14ac:dyDescent="0.35">
      <c r="A19" s="23">
        <v>1165</v>
      </c>
      <c r="B19" s="48">
        <v>1163</v>
      </c>
      <c r="C19" s="48"/>
      <c r="Q19" s="3"/>
    </row>
    <row r="20" spans="1:24" x14ac:dyDescent="0.35">
      <c r="A20" s="7"/>
      <c r="B20" s="7"/>
      <c r="Q20" s="3"/>
    </row>
    <row r="21" spans="1:24" x14ac:dyDescent="0.35">
      <c r="A21" s="45" t="s">
        <v>68</v>
      </c>
      <c r="B21" s="46"/>
      <c r="C21" s="46"/>
      <c r="Q21" s="3"/>
    </row>
    <row r="22" spans="1:24" x14ac:dyDescent="0.35">
      <c r="A22" s="15" t="s">
        <v>65</v>
      </c>
      <c r="B22" s="43" t="s">
        <v>66</v>
      </c>
      <c r="C22" s="43"/>
      <c r="Q22" s="3"/>
    </row>
    <row r="23" spans="1:24" x14ac:dyDescent="0.35">
      <c r="A23" s="23">
        <v>1163</v>
      </c>
      <c r="B23" s="48">
        <v>1158.68</v>
      </c>
      <c r="C23" s="48"/>
      <c r="Q23" s="3"/>
    </row>
    <row r="24" spans="1:24" x14ac:dyDescent="0.35">
      <c r="A24" s="7"/>
      <c r="B24" s="7"/>
      <c r="Q24" s="3"/>
    </row>
    <row r="25" spans="1:24" x14ac:dyDescent="0.35">
      <c r="A25" s="43" t="s">
        <v>67</v>
      </c>
      <c r="B25" s="43"/>
      <c r="C25" s="43"/>
      <c r="Q25" s="3"/>
    </row>
    <row r="26" spans="1:24" x14ac:dyDescent="0.35">
      <c r="A26" s="15" t="s">
        <v>65</v>
      </c>
      <c r="B26" s="43" t="s">
        <v>66</v>
      </c>
      <c r="C26" s="43"/>
      <c r="Q26" s="20"/>
    </row>
    <row r="27" spans="1:24" x14ac:dyDescent="0.35">
      <c r="A27" s="16">
        <v>1158.68</v>
      </c>
      <c r="B27" s="48">
        <v>1154.95</v>
      </c>
      <c r="C27" s="48"/>
    </row>
    <row r="29" spans="1:24" x14ac:dyDescent="0.35">
      <c r="A29" t="s">
        <v>53</v>
      </c>
      <c r="C29" t="s">
        <v>54</v>
      </c>
      <c r="E29" t="s">
        <v>55</v>
      </c>
      <c r="G29" t="s">
        <v>63</v>
      </c>
    </row>
    <row r="30" spans="1:24" ht="15" customHeight="1" x14ac:dyDescent="0.35"/>
    <row r="31" spans="1:24" x14ac:dyDescent="0.35">
      <c r="A31" t="s">
        <v>56</v>
      </c>
      <c r="C31" s="13">
        <v>282</v>
      </c>
      <c r="E31" s="22">
        <v>488</v>
      </c>
      <c r="G31" s="22">
        <v>185.61920000000001</v>
      </c>
    </row>
    <row r="33" spans="1:7" x14ac:dyDescent="0.35">
      <c r="A33" t="s">
        <v>57</v>
      </c>
      <c r="C33" s="25">
        <f>((A19-B19)/C31)*100</f>
        <v>0.70921985815602839</v>
      </c>
      <c r="E33" s="14">
        <f>((A23-B23)/E31)*100</f>
        <v>0.88524590163933126</v>
      </c>
      <c r="G33" s="25">
        <f>((A27-B27)/G31)*100</f>
        <v>2.0094903975450911</v>
      </c>
    </row>
    <row r="35" spans="1:7" x14ac:dyDescent="0.35">
      <c r="A35" t="s">
        <v>58</v>
      </c>
      <c r="E35" s="37">
        <v>0.45700000000000002</v>
      </c>
      <c r="G35" s="13">
        <v>0.45700000000000002</v>
      </c>
    </row>
    <row r="37" spans="1:7" x14ac:dyDescent="0.35">
      <c r="A37" t="s">
        <v>59</v>
      </c>
      <c r="E37" s="25">
        <f>3.3*E35*(E33^0.5)</f>
        <v>1.4189336965066188</v>
      </c>
      <c r="G37" s="25">
        <f>3.3*G35*(G33^0.5)</f>
        <v>2.1378297064550731</v>
      </c>
    </row>
    <row r="39" spans="1:7" x14ac:dyDescent="0.35">
      <c r="A39" s="42" t="s">
        <v>60</v>
      </c>
      <c r="C39" s="25">
        <f>(1.8*(1.1-C15)*(C31^0.5))/(C33^(1/3))</f>
        <v>13.110570593540935</v>
      </c>
      <c r="E39" s="25">
        <f>E31/(60*E37)</f>
        <v>5.7320037950733065</v>
      </c>
      <c r="G39" s="25">
        <f>G31/(60*G37)</f>
        <v>1.4470999836854157</v>
      </c>
    </row>
    <row r="40" spans="1:7" ht="15" customHeight="1" x14ac:dyDescent="0.35">
      <c r="A40" s="42"/>
    </row>
    <row r="42" spans="1:7" x14ac:dyDescent="0.35">
      <c r="A42" s="42" t="s">
        <v>61</v>
      </c>
      <c r="G42" s="26">
        <f>C39+E39+G39</f>
        <v>20.289674372299658</v>
      </c>
    </row>
    <row r="43" spans="1:7" x14ac:dyDescent="0.35">
      <c r="A43" s="42"/>
    </row>
    <row r="45" spans="1:7" x14ac:dyDescent="0.35">
      <c r="A45" s="17" t="s">
        <v>62</v>
      </c>
      <c r="B45" s="18"/>
      <c r="C45" s="19">
        <v>15</v>
      </c>
      <c r="G45" s="26">
        <f>IF(G42&gt;C45, G42, C45)</f>
        <v>20.289674372299658</v>
      </c>
    </row>
  </sheetData>
  <mergeCells count="12">
    <mergeCell ref="A1:G1"/>
    <mergeCell ref="B23:C23"/>
    <mergeCell ref="A25:C25"/>
    <mergeCell ref="B26:C26"/>
    <mergeCell ref="B27:C27"/>
    <mergeCell ref="A42:A43"/>
    <mergeCell ref="A17:C17"/>
    <mergeCell ref="B18:C18"/>
    <mergeCell ref="B19:C19"/>
    <mergeCell ref="A21:C21"/>
    <mergeCell ref="B22:C22"/>
    <mergeCell ref="A39:A4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9CFE9-A206-41B1-BF87-608755F67CAE}">
  <dimension ref="A1:X45"/>
  <sheetViews>
    <sheetView tabSelected="1" view="pageBreakPreview" topLeftCell="A7" zoomScale="90" zoomScaleNormal="100" zoomScaleSheetLayoutView="90" workbookViewId="0">
      <selection activeCell="E15" sqref="E15"/>
    </sheetView>
  </sheetViews>
  <sheetFormatPr defaultRowHeight="14.5" x14ac:dyDescent="0.35"/>
  <cols>
    <col min="1" max="1" width="20.453125" customWidth="1"/>
    <col min="2" max="2" width="9.54296875" bestFit="1" customWidth="1"/>
    <col min="3" max="3" width="11" bestFit="1" customWidth="1"/>
    <col min="4" max="4" width="10" bestFit="1" customWidth="1"/>
    <col min="5" max="5" width="9.54296875" bestFit="1" customWidth="1"/>
    <col min="6" max="6" width="10.1796875" bestFit="1" customWidth="1"/>
    <col min="7" max="7" width="15" bestFit="1" customWidth="1"/>
    <col min="8" max="8" width="13.7265625" customWidth="1"/>
  </cols>
  <sheetData>
    <row r="1" spans="1:24" x14ac:dyDescent="0.35">
      <c r="A1" s="41" t="s">
        <v>85</v>
      </c>
      <c r="B1" s="41"/>
      <c r="C1" s="41"/>
      <c r="D1" s="41"/>
      <c r="E1" s="41"/>
      <c r="F1" s="41"/>
      <c r="G1" s="41"/>
    </row>
    <row r="2" spans="1:24" x14ac:dyDescent="0.35">
      <c r="A2" t="s">
        <v>41</v>
      </c>
      <c r="B2" s="7">
        <v>122880</v>
      </c>
    </row>
    <row r="3" spans="1:24" x14ac:dyDescent="0.35">
      <c r="A3" t="s">
        <v>42</v>
      </c>
      <c r="B3" s="10">
        <f>E15</f>
        <v>0.62640000000000007</v>
      </c>
    </row>
    <row r="4" spans="1:24" x14ac:dyDescent="0.35">
      <c r="B4" s="7"/>
      <c r="D4" t="s">
        <v>43</v>
      </c>
      <c r="E4" t="s">
        <v>44</v>
      </c>
      <c r="G4" t="s">
        <v>45</v>
      </c>
    </row>
    <row r="5" spans="1:24" x14ac:dyDescent="0.35">
      <c r="B5" s="7"/>
      <c r="C5" t="s">
        <v>47</v>
      </c>
      <c r="D5">
        <v>0.3</v>
      </c>
      <c r="E5" s="21"/>
      <c r="G5" s="25">
        <f>D5*E5</f>
        <v>0</v>
      </c>
    </row>
    <row r="6" spans="1:24" x14ac:dyDescent="0.35">
      <c r="D6">
        <v>0.35</v>
      </c>
      <c r="E6" s="21"/>
      <c r="G6" s="25">
        <f t="shared" ref="G6:G14" si="0">D6*E6</f>
        <v>0</v>
      </c>
    </row>
    <row r="7" spans="1:24" x14ac:dyDescent="0.35">
      <c r="D7">
        <v>0.4</v>
      </c>
      <c r="E7" s="21"/>
      <c r="G7" s="25">
        <f t="shared" si="0"/>
        <v>0</v>
      </c>
    </row>
    <row r="8" spans="1:24" x14ac:dyDescent="0.35">
      <c r="D8">
        <v>0.45</v>
      </c>
      <c r="E8" s="21"/>
      <c r="G8" s="25">
        <f t="shared" si="0"/>
        <v>0</v>
      </c>
    </row>
    <row r="9" spans="1:24" x14ac:dyDescent="0.35">
      <c r="C9" t="s">
        <v>46</v>
      </c>
      <c r="D9">
        <v>0.5</v>
      </c>
      <c r="E9" s="21"/>
      <c r="G9" s="25">
        <f t="shared" si="0"/>
        <v>0</v>
      </c>
    </row>
    <row r="10" spans="1:24" x14ac:dyDescent="0.35">
      <c r="D10">
        <v>0.55000000000000004</v>
      </c>
      <c r="E10" s="21"/>
      <c r="G10" s="25">
        <f t="shared" si="0"/>
        <v>0</v>
      </c>
    </row>
    <row r="11" spans="1:24" x14ac:dyDescent="0.35">
      <c r="C11" t="s">
        <v>49</v>
      </c>
      <c r="D11">
        <v>0.6</v>
      </c>
      <c r="E11" s="21">
        <v>0.40710000000000002</v>
      </c>
      <c r="G11" s="25">
        <f t="shared" si="0"/>
        <v>0.24426</v>
      </c>
      <c r="Q11" s="3"/>
    </row>
    <row r="12" spans="1:24" x14ac:dyDescent="0.35">
      <c r="D12">
        <v>0.65</v>
      </c>
      <c r="E12" s="21"/>
      <c r="G12" s="25">
        <f t="shared" si="0"/>
        <v>0</v>
      </c>
      <c r="Q12" s="3"/>
    </row>
    <row r="13" spans="1:24" x14ac:dyDescent="0.35">
      <c r="D13">
        <v>0.7</v>
      </c>
      <c r="E13" s="21"/>
      <c r="G13" s="25">
        <f t="shared" si="0"/>
        <v>0</v>
      </c>
      <c r="Q13" s="3"/>
      <c r="X13" s="3"/>
    </row>
    <row r="14" spans="1:24" x14ac:dyDescent="0.35">
      <c r="C14" t="s">
        <v>48</v>
      </c>
      <c r="D14">
        <v>0.9</v>
      </c>
      <c r="E14" s="21">
        <v>0.21929999999999999</v>
      </c>
      <c r="G14" s="25">
        <f t="shared" si="0"/>
        <v>0.19736999999999999</v>
      </c>
      <c r="Q14" s="3"/>
      <c r="X14" s="3"/>
    </row>
    <row r="15" spans="1:24" x14ac:dyDescent="0.35">
      <c r="A15" t="s">
        <v>52</v>
      </c>
      <c r="C15" s="25">
        <f>G15/E15</f>
        <v>0.70502873563218382</v>
      </c>
      <c r="D15" t="s">
        <v>50</v>
      </c>
      <c r="E15" s="25">
        <f>SUM(E5:E14)</f>
        <v>0.62640000000000007</v>
      </c>
      <c r="F15" t="s">
        <v>51</v>
      </c>
      <c r="G15" s="25">
        <f>SUM(G5:G14)</f>
        <v>0.44162999999999997</v>
      </c>
      <c r="Q15" s="3"/>
      <c r="X15" s="3"/>
    </row>
    <row r="16" spans="1:24" x14ac:dyDescent="0.35">
      <c r="Q16" s="3"/>
      <c r="X16" s="3"/>
    </row>
    <row r="17" spans="1:24" ht="15" customHeight="1" x14ac:dyDescent="0.35">
      <c r="A17" s="43" t="s">
        <v>64</v>
      </c>
      <c r="B17" s="43"/>
      <c r="C17" s="43"/>
      <c r="Q17" s="3"/>
      <c r="X17" s="3"/>
    </row>
    <row r="18" spans="1:24" x14ac:dyDescent="0.35">
      <c r="A18" s="15" t="s">
        <v>65</v>
      </c>
      <c r="B18" s="43" t="s">
        <v>66</v>
      </c>
      <c r="C18" s="43"/>
      <c r="Q18" s="3"/>
      <c r="X18" s="3"/>
    </row>
    <row r="19" spans="1:24" x14ac:dyDescent="0.35">
      <c r="A19" s="23"/>
      <c r="B19" s="44"/>
      <c r="C19" s="44"/>
      <c r="Q19" s="3"/>
    </row>
    <row r="20" spans="1:24" x14ac:dyDescent="0.35">
      <c r="A20" s="7"/>
      <c r="B20" s="7"/>
      <c r="Q20" s="3"/>
    </row>
    <row r="21" spans="1:24" x14ac:dyDescent="0.35">
      <c r="A21" s="45" t="s">
        <v>68</v>
      </c>
      <c r="B21" s="46"/>
      <c r="C21" s="46"/>
      <c r="Q21" s="3"/>
    </row>
    <row r="22" spans="1:24" x14ac:dyDescent="0.35">
      <c r="A22" s="15" t="s">
        <v>65</v>
      </c>
      <c r="B22" s="43" t="s">
        <v>66</v>
      </c>
      <c r="C22" s="43"/>
      <c r="Q22" s="3"/>
    </row>
    <row r="23" spans="1:24" x14ac:dyDescent="0.35">
      <c r="A23" s="24"/>
      <c r="B23" s="47"/>
      <c r="C23" s="47"/>
      <c r="Q23" s="3"/>
    </row>
    <row r="24" spans="1:24" x14ac:dyDescent="0.35">
      <c r="A24" s="7"/>
      <c r="B24" s="7"/>
      <c r="Q24" s="3"/>
    </row>
    <row r="25" spans="1:24" x14ac:dyDescent="0.35">
      <c r="A25" s="43" t="s">
        <v>67</v>
      </c>
      <c r="B25" s="43"/>
      <c r="C25" s="43"/>
      <c r="Q25" s="3"/>
    </row>
    <row r="26" spans="1:24" x14ac:dyDescent="0.35">
      <c r="A26" s="15" t="s">
        <v>65</v>
      </c>
      <c r="B26" s="43" t="s">
        <v>66</v>
      </c>
      <c r="C26" s="43"/>
      <c r="Q26" s="20"/>
    </row>
    <row r="27" spans="1:24" x14ac:dyDescent="0.35">
      <c r="A27" s="16">
        <v>1154.95</v>
      </c>
      <c r="B27" s="48">
        <v>1151.69</v>
      </c>
      <c r="C27" s="48"/>
    </row>
    <row r="29" spans="1:24" x14ac:dyDescent="0.35">
      <c r="A29" t="s">
        <v>53</v>
      </c>
      <c r="C29" t="s">
        <v>54</v>
      </c>
      <c r="E29" t="s">
        <v>55</v>
      </c>
      <c r="G29" t="s">
        <v>63</v>
      </c>
    </row>
    <row r="30" spans="1:24" ht="15" customHeight="1" x14ac:dyDescent="0.35"/>
    <row r="31" spans="1:24" x14ac:dyDescent="0.35">
      <c r="A31" t="s">
        <v>56</v>
      </c>
      <c r="C31" s="13">
        <v>0</v>
      </c>
      <c r="E31" s="22">
        <v>1E-3</v>
      </c>
      <c r="G31" s="22">
        <v>245.77250000000001</v>
      </c>
    </row>
    <row r="33" spans="1:7" x14ac:dyDescent="0.35">
      <c r="A33" t="s">
        <v>57</v>
      </c>
      <c r="C33" s="25">
        <v>0</v>
      </c>
      <c r="E33" s="14">
        <f>((A23-B23)/E31)*100</f>
        <v>0</v>
      </c>
      <c r="G33" s="25">
        <f>((A27-B27)/G31)*100</f>
        <v>1.3264299301182967</v>
      </c>
    </row>
    <row r="35" spans="1:7" x14ac:dyDescent="0.35">
      <c r="A35" t="s">
        <v>58</v>
      </c>
      <c r="E35" s="22">
        <v>1E-4</v>
      </c>
      <c r="G35" s="13">
        <v>0.45700000000000002</v>
      </c>
    </row>
    <row r="37" spans="1:7" x14ac:dyDescent="0.35">
      <c r="A37" t="s">
        <v>59</v>
      </c>
      <c r="E37" s="26">
        <f>3.3*E35*(E33^0.5)</f>
        <v>0</v>
      </c>
      <c r="G37" s="25">
        <f>3.3*G35*(G33^0.5)</f>
        <v>1.7368899266032254</v>
      </c>
    </row>
    <row r="39" spans="1:7" x14ac:dyDescent="0.35">
      <c r="A39" s="42" t="s">
        <v>60</v>
      </c>
      <c r="C39" s="25">
        <v>0</v>
      </c>
      <c r="E39" s="14">
        <v>0</v>
      </c>
      <c r="G39" s="25">
        <f>G31/(60*G37)</f>
        <v>2.3583580459494886</v>
      </c>
    </row>
    <row r="40" spans="1:7" ht="15" customHeight="1" x14ac:dyDescent="0.35">
      <c r="A40" s="42"/>
    </row>
    <row r="42" spans="1:7" x14ac:dyDescent="0.35">
      <c r="A42" s="42" t="s">
        <v>61</v>
      </c>
      <c r="G42" s="25">
        <f>C39+E39+G39</f>
        <v>2.3583580459494886</v>
      </c>
    </row>
    <row r="43" spans="1:7" x14ac:dyDescent="0.35">
      <c r="A43" s="42"/>
    </row>
    <row r="45" spans="1:7" x14ac:dyDescent="0.35">
      <c r="A45" s="17" t="s">
        <v>62</v>
      </c>
      <c r="B45" s="18"/>
      <c r="C45" s="19">
        <v>15</v>
      </c>
      <c r="G45" s="26">
        <f>IF(G42&gt;C45, G42, C45)</f>
        <v>15</v>
      </c>
    </row>
  </sheetData>
  <mergeCells count="12">
    <mergeCell ref="A42:A43"/>
    <mergeCell ref="A1:G1"/>
    <mergeCell ref="A17:C17"/>
    <mergeCell ref="B18:C18"/>
    <mergeCell ref="B19:C19"/>
    <mergeCell ref="A21:C21"/>
    <mergeCell ref="B22:C22"/>
    <mergeCell ref="B23:C23"/>
    <mergeCell ref="A25:C25"/>
    <mergeCell ref="B26:C26"/>
    <mergeCell ref="B27:C27"/>
    <mergeCell ref="A39:A4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32B90-E88A-4188-82AC-43CD6BB508FC}">
  <dimension ref="A1:V34"/>
  <sheetViews>
    <sheetView view="pageBreakPreview" zoomScale="90" zoomScaleNormal="100" zoomScaleSheetLayoutView="90" workbookViewId="0">
      <selection activeCell="M50" sqref="M50"/>
    </sheetView>
  </sheetViews>
  <sheetFormatPr defaultRowHeight="14.5" x14ac:dyDescent="0.35"/>
  <cols>
    <col min="1" max="1" width="19.81640625" customWidth="1"/>
    <col min="2" max="2" width="10.1796875" customWidth="1"/>
    <col min="3" max="3" width="11" bestFit="1" customWidth="1"/>
    <col min="4" max="4" width="10" bestFit="1" customWidth="1"/>
    <col min="5" max="5" width="9.54296875" bestFit="1" customWidth="1"/>
    <col min="6" max="6" width="10.1796875" bestFit="1" customWidth="1"/>
    <col min="7" max="7" width="15" bestFit="1" customWidth="1"/>
  </cols>
  <sheetData>
    <row r="1" spans="1:22" x14ac:dyDescent="0.35">
      <c r="A1" s="41" t="s">
        <v>78</v>
      </c>
      <c r="B1" s="41"/>
      <c r="C1" s="41"/>
      <c r="D1" s="41"/>
      <c r="E1" s="41"/>
      <c r="F1" s="41"/>
      <c r="G1" s="41"/>
    </row>
    <row r="2" spans="1:22" x14ac:dyDescent="0.35">
      <c r="A2" t="s">
        <v>41</v>
      </c>
      <c r="B2" s="7">
        <v>122880</v>
      </c>
    </row>
    <row r="3" spans="1:22" x14ac:dyDescent="0.35">
      <c r="A3" t="s">
        <v>42</v>
      </c>
      <c r="B3" s="10">
        <f>E15</f>
        <v>0.25509999999999999</v>
      </c>
    </row>
    <row r="4" spans="1:22" x14ac:dyDescent="0.35">
      <c r="B4" s="7"/>
      <c r="D4" t="s">
        <v>43</v>
      </c>
      <c r="E4" t="s">
        <v>44</v>
      </c>
      <c r="G4" t="s">
        <v>45</v>
      </c>
    </row>
    <row r="5" spans="1:22" x14ac:dyDescent="0.35">
      <c r="B5" s="7"/>
      <c r="C5" t="s">
        <v>47</v>
      </c>
      <c r="D5">
        <v>0.3</v>
      </c>
      <c r="E5" s="21"/>
      <c r="G5" s="25">
        <f>D5*E5</f>
        <v>0</v>
      </c>
    </row>
    <row r="6" spans="1:22" x14ac:dyDescent="0.35">
      <c r="D6">
        <v>0.35</v>
      </c>
      <c r="E6" s="21"/>
      <c r="G6" s="25">
        <f t="shared" ref="G6:G14" si="0">D6*E6</f>
        <v>0</v>
      </c>
    </row>
    <row r="7" spans="1:22" x14ac:dyDescent="0.35">
      <c r="D7">
        <v>0.4</v>
      </c>
      <c r="E7" s="21"/>
      <c r="G7" s="25">
        <f t="shared" si="0"/>
        <v>0</v>
      </c>
    </row>
    <row r="8" spans="1:22" x14ac:dyDescent="0.35">
      <c r="D8">
        <v>0.45</v>
      </c>
      <c r="E8" s="21"/>
      <c r="G8" s="25">
        <f t="shared" si="0"/>
        <v>0</v>
      </c>
    </row>
    <row r="9" spans="1:22" x14ac:dyDescent="0.35">
      <c r="C9" t="s">
        <v>46</v>
      </c>
      <c r="D9">
        <v>0.5</v>
      </c>
      <c r="E9" s="21"/>
      <c r="G9" s="25">
        <f t="shared" si="0"/>
        <v>0</v>
      </c>
    </row>
    <row r="10" spans="1:22" x14ac:dyDescent="0.35">
      <c r="D10">
        <v>0.55000000000000004</v>
      </c>
      <c r="E10" s="21"/>
      <c r="G10" s="25">
        <f t="shared" si="0"/>
        <v>0</v>
      </c>
    </row>
    <row r="11" spans="1:22" x14ac:dyDescent="0.35">
      <c r="C11" t="s">
        <v>49</v>
      </c>
      <c r="D11">
        <v>0.6</v>
      </c>
      <c r="E11" s="21"/>
      <c r="G11" s="25">
        <f t="shared" si="0"/>
        <v>0</v>
      </c>
      <c r="O11" s="3"/>
    </row>
    <row r="12" spans="1:22" x14ac:dyDescent="0.35">
      <c r="D12">
        <v>0.65</v>
      </c>
      <c r="E12" s="21"/>
      <c r="G12" s="25">
        <f t="shared" si="0"/>
        <v>0</v>
      </c>
      <c r="O12" s="3"/>
    </row>
    <row r="13" spans="1:22" x14ac:dyDescent="0.35">
      <c r="D13">
        <v>0.7</v>
      </c>
      <c r="E13" s="21"/>
      <c r="G13" s="25">
        <f t="shared" si="0"/>
        <v>0</v>
      </c>
      <c r="O13" s="3"/>
      <c r="V13" s="3"/>
    </row>
    <row r="14" spans="1:22" x14ac:dyDescent="0.35">
      <c r="C14" t="s">
        <v>48</v>
      </c>
      <c r="D14">
        <v>0.9</v>
      </c>
      <c r="E14" s="21">
        <v>0.25509999999999999</v>
      </c>
      <c r="G14" s="25">
        <f t="shared" si="0"/>
        <v>0.22958999999999999</v>
      </c>
      <c r="O14" s="3"/>
      <c r="V14" s="3"/>
    </row>
    <row r="15" spans="1:22" x14ac:dyDescent="0.35">
      <c r="A15" t="s">
        <v>52</v>
      </c>
      <c r="C15" s="25">
        <f>G15/E15</f>
        <v>0.9</v>
      </c>
      <c r="D15" t="s">
        <v>50</v>
      </c>
      <c r="E15" s="25">
        <f>SUM(E5:E14)</f>
        <v>0.25509999999999999</v>
      </c>
      <c r="F15" t="s">
        <v>51</v>
      </c>
      <c r="G15" s="25">
        <f>SUM(G5:G14)</f>
        <v>0.22958999999999999</v>
      </c>
      <c r="O15" s="3"/>
      <c r="V15" s="3"/>
    </row>
    <row r="16" spans="1:22" x14ac:dyDescent="0.35">
      <c r="O16" s="3"/>
      <c r="V16" s="3"/>
    </row>
    <row r="18" spans="1:7" x14ac:dyDescent="0.35">
      <c r="A18" t="s">
        <v>53</v>
      </c>
      <c r="C18" t="s">
        <v>54</v>
      </c>
      <c r="E18" t="s">
        <v>55</v>
      </c>
      <c r="G18" t="s">
        <v>63</v>
      </c>
    </row>
    <row r="19" spans="1:7" ht="15" customHeight="1" x14ac:dyDescent="0.35"/>
    <row r="20" spans="1:7" x14ac:dyDescent="0.35">
      <c r="A20" t="s">
        <v>56</v>
      </c>
      <c r="C20" s="13">
        <v>38</v>
      </c>
      <c r="E20" s="22">
        <v>1E-3</v>
      </c>
      <c r="G20" s="13">
        <v>162</v>
      </c>
    </row>
    <row r="22" spans="1:7" x14ac:dyDescent="0.35">
      <c r="A22" t="s">
        <v>57</v>
      </c>
      <c r="C22" s="25">
        <v>1.65</v>
      </c>
      <c r="E22" s="14">
        <v>0</v>
      </c>
      <c r="G22" s="25">
        <v>1.2</v>
      </c>
    </row>
    <row r="24" spans="1:7" x14ac:dyDescent="0.35">
      <c r="A24" t="s">
        <v>58</v>
      </c>
      <c r="E24" s="22">
        <v>1E-4</v>
      </c>
      <c r="G24" s="13">
        <v>0.45700000000000002</v>
      </c>
    </row>
    <row r="26" spans="1:7" x14ac:dyDescent="0.35">
      <c r="A26" t="s">
        <v>59</v>
      </c>
      <c r="E26" s="26">
        <f>3.3*E24*(E22^0.5)</f>
        <v>0</v>
      </c>
      <c r="G26" s="25">
        <f>3.3*G24*(G22^0.5)</f>
        <v>1.6520407779470818</v>
      </c>
    </row>
    <row r="28" spans="1:7" x14ac:dyDescent="0.35">
      <c r="A28" s="42" t="s">
        <v>60</v>
      </c>
      <c r="C28" s="25">
        <f>(1.8*(1.1-C15)*(C20^0.5))/(C22^(1/3))</f>
        <v>1.8780175698507442</v>
      </c>
      <c r="E28" s="14">
        <v>0</v>
      </c>
      <c r="G28" s="25">
        <f>G20/(60*G26)</f>
        <v>1.6343422245031813</v>
      </c>
    </row>
    <row r="29" spans="1:7" ht="15" customHeight="1" x14ac:dyDescent="0.35">
      <c r="A29" s="42"/>
    </row>
    <row r="31" spans="1:7" x14ac:dyDescent="0.35">
      <c r="A31" s="42" t="s">
        <v>61</v>
      </c>
      <c r="G31" s="25">
        <f>C28+E28+G28</f>
        <v>3.5123597943539258</v>
      </c>
    </row>
    <row r="32" spans="1:7" x14ac:dyDescent="0.35">
      <c r="A32" s="42"/>
    </row>
    <row r="34" spans="1:7" x14ac:dyDescent="0.35">
      <c r="A34" s="17" t="s">
        <v>62</v>
      </c>
      <c r="B34" s="18"/>
      <c r="C34" s="19">
        <v>10</v>
      </c>
      <c r="G34" s="26">
        <f>IF(G31&gt;C34, G31, C34)</f>
        <v>10</v>
      </c>
    </row>
  </sheetData>
  <mergeCells count="3">
    <mergeCell ref="A28:A29"/>
    <mergeCell ref="A31:A32"/>
    <mergeCell ref="A1:G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1D83-D13C-46DC-9F0B-1F801ED4493B}">
  <dimension ref="A1:V34"/>
  <sheetViews>
    <sheetView view="pageBreakPreview" zoomScale="90" zoomScaleNormal="100" zoomScaleSheetLayoutView="90" workbookViewId="0">
      <selection activeCell="M50" sqref="M50"/>
    </sheetView>
  </sheetViews>
  <sheetFormatPr defaultRowHeight="14.5" x14ac:dyDescent="0.35"/>
  <cols>
    <col min="1" max="1" width="19.453125" customWidth="1"/>
    <col min="2" max="2" width="7" bestFit="1" customWidth="1"/>
    <col min="3" max="3" width="11" bestFit="1" customWidth="1"/>
    <col min="4" max="4" width="10" bestFit="1" customWidth="1"/>
    <col min="5" max="5" width="9.54296875" bestFit="1" customWidth="1"/>
    <col min="6" max="6" width="10.1796875" bestFit="1" customWidth="1"/>
    <col min="7" max="7" width="15" bestFit="1" customWidth="1"/>
  </cols>
  <sheetData>
    <row r="1" spans="1:22" x14ac:dyDescent="0.35">
      <c r="A1" s="41" t="s">
        <v>79</v>
      </c>
      <c r="B1" s="41"/>
      <c r="C1" s="41"/>
      <c r="D1" s="41"/>
      <c r="E1" s="41"/>
      <c r="F1" s="41"/>
      <c r="G1" s="41"/>
    </row>
    <row r="2" spans="1:22" x14ac:dyDescent="0.35">
      <c r="A2" t="s">
        <v>41</v>
      </c>
      <c r="B2" s="7">
        <v>122880</v>
      </c>
    </row>
    <row r="3" spans="1:22" x14ac:dyDescent="0.35">
      <c r="A3" t="s">
        <v>42</v>
      </c>
      <c r="B3" s="10">
        <f>E15</f>
        <v>0.23449999999999999</v>
      </c>
    </row>
    <row r="4" spans="1:22" x14ac:dyDescent="0.35">
      <c r="B4" s="7"/>
      <c r="D4" t="s">
        <v>43</v>
      </c>
      <c r="E4" t="s">
        <v>44</v>
      </c>
      <c r="G4" t="s">
        <v>45</v>
      </c>
    </row>
    <row r="5" spans="1:22" x14ac:dyDescent="0.35">
      <c r="B5" s="7"/>
      <c r="C5" t="s">
        <v>47</v>
      </c>
      <c r="D5">
        <v>0.3</v>
      </c>
      <c r="E5" s="21"/>
      <c r="G5" s="25">
        <f>D5*E5</f>
        <v>0</v>
      </c>
    </row>
    <row r="6" spans="1:22" x14ac:dyDescent="0.35">
      <c r="D6">
        <v>0.35</v>
      </c>
      <c r="E6" s="21"/>
      <c r="G6" s="25">
        <f t="shared" ref="G6:G14" si="0">D6*E6</f>
        <v>0</v>
      </c>
    </row>
    <row r="7" spans="1:22" x14ac:dyDescent="0.35">
      <c r="D7">
        <v>0.4</v>
      </c>
      <c r="E7" s="21"/>
      <c r="G7" s="25">
        <f t="shared" si="0"/>
        <v>0</v>
      </c>
    </row>
    <row r="8" spans="1:22" x14ac:dyDescent="0.35">
      <c r="D8">
        <v>0.45</v>
      </c>
      <c r="E8" s="21"/>
      <c r="G8" s="25">
        <f t="shared" si="0"/>
        <v>0</v>
      </c>
    </row>
    <row r="9" spans="1:22" x14ac:dyDescent="0.35">
      <c r="C9" t="s">
        <v>46</v>
      </c>
      <c r="D9">
        <v>0.5</v>
      </c>
      <c r="E9" s="21"/>
      <c r="G9" s="25">
        <f t="shared" si="0"/>
        <v>0</v>
      </c>
    </row>
    <row r="10" spans="1:22" x14ac:dyDescent="0.35">
      <c r="D10">
        <v>0.55000000000000004</v>
      </c>
      <c r="E10" s="21"/>
      <c r="G10" s="25">
        <f t="shared" si="0"/>
        <v>0</v>
      </c>
    </row>
    <row r="11" spans="1:22" x14ac:dyDescent="0.35">
      <c r="C11" t="s">
        <v>49</v>
      </c>
      <c r="D11">
        <v>0.6</v>
      </c>
      <c r="E11" s="21"/>
      <c r="G11" s="25">
        <f t="shared" si="0"/>
        <v>0</v>
      </c>
      <c r="O11" s="3"/>
    </row>
    <row r="12" spans="1:22" x14ac:dyDescent="0.35">
      <c r="D12">
        <v>0.65</v>
      </c>
      <c r="E12" s="21"/>
      <c r="G12" s="25">
        <f t="shared" si="0"/>
        <v>0</v>
      </c>
      <c r="O12" s="3"/>
    </row>
    <row r="13" spans="1:22" x14ac:dyDescent="0.35">
      <c r="D13">
        <v>0.7</v>
      </c>
      <c r="E13" s="21"/>
      <c r="G13" s="25">
        <f t="shared" si="0"/>
        <v>0</v>
      </c>
      <c r="O13" s="3"/>
      <c r="V13" s="3"/>
    </row>
    <row r="14" spans="1:22" x14ac:dyDescent="0.35">
      <c r="C14" t="s">
        <v>48</v>
      </c>
      <c r="D14">
        <v>0.9</v>
      </c>
      <c r="E14" s="21">
        <v>0.23449999999999999</v>
      </c>
      <c r="G14" s="25">
        <f t="shared" si="0"/>
        <v>0.21104999999999999</v>
      </c>
      <c r="O14" s="3"/>
      <c r="V14" s="3"/>
    </row>
    <row r="15" spans="1:22" x14ac:dyDescent="0.35">
      <c r="A15" t="s">
        <v>52</v>
      </c>
      <c r="C15" s="25">
        <f>G15/E15</f>
        <v>0.9</v>
      </c>
      <c r="D15" t="s">
        <v>50</v>
      </c>
      <c r="E15" s="25">
        <f>SUM(E5:E14)</f>
        <v>0.23449999999999999</v>
      </c>
      <c r="F15" t="s">
        <v>51</v>
      </c>
      <c r="G15" s="25">
        <f>SUM(G5:G14)</f>
        <v>0.21104999999999999</v>
      </c>
      <c r="O15" s="3"/>
      <c r="V15" s="3"/>
    </row>
    <row r="16" spans="1:22" x14ac:dyDescent="0.35">
      <c r="O16" s="3"/>
      <c r="V16" s="3"/>
    </row>
    <row r="18" spans="1:7" x14ac:dyDescent="0.35">
      <c r="A18" t="s">
        <v>53</v>
      </c>
      <c r="C18" t="s">
        <v>54</v>
      </c>
      <c r="E18" t="s">
        <v>55</v>
      </c>
      <c r="G18" t="s">
        <v>63</v>
      </c>
    </row>
    <row r="19" spans="1:7" ht="15" customHeight="1" x14ac:dyDescent="0.35"/>
    <row r="20" spans="1:7" x14ac:dyDescent="0.35">
      <c r="A20" t="s">
        <v>56</v>
      </c>
      <c r="C20" s="13">
        <v>38</v>
      </c>
      <c r="E20" s="22">
        <v>1E-3</v>
      </c>
      <c r="G20" s="13">
        <v>162</v>
      </c>
    </row>
    <row r="22" spans="1:7" x14ac:dyDescent="0.35">
      <c r="A22" t="s">
        <v>57</v>
      </c>
      <c r="C22" s="25">
        <v>1.65</v>
      </c>
      <c r="E22" s="14">
        <v>0</v>
      </c>
      <c r="G22" s="25">
        <v>1.2</v>
      </c>
    </row>
    <row r="24" spans="1:7" x14ac:dyDescent="0.35">
      <c r="A24" t="s">
        <v>58</v>
      </c>
      <c r="E24" s="22">
        <v>1E-4</v>
      </c>
      <c r="G24" s="13">
        <v>0.45700000000000002</v>
      </c>
    </row>
    <row r="26" spans="1:7" x14ac:dyDescent="0.35">
      <c r="A26" t="s">
        <v>59</v>
      </c>
      <c r="E26" s="26">
        <f>3.3*E24*(E22^0.5)</f>
        <v>0</v>
      </c>
      <c r="G26" s="25">
        <f>3.3*G24*(G22^0.5)</f>
        <v>1.6520407779470818</v>
      </c>
    </row>
    <row r="28" spans="1:7" x14ac:dyDescent="0.35">
      <c r="A28" s="42" t="s">
        <v>60</v>
      </c>
      <c r="C28" s="25">
        <f>(1.8*(1.1-C15)*(C20^0.5))/(C22^(1/3))</f>
        <v>1.8780175698507442</v>
      </c>
      <c r="E28" s="14">
        <v>0</v>
      </c>
      <c r="G28" s="25">
        <f>G20/(60*G26)</f>
        <v>1.6343422245031813</v>
      </c>
    </row>
    <row r="29" spans="1:7" ht="15" customHeight="1" x14ac:dyDescent="0.35">
      <c r="A29" s="42"/>
    </row>
    <row r="31" spans="1:7" x14ac:dyDescent="0.35">
      <c r="A31" s="42" t="s">
        <v>61</v>
      </c>
      <c r="G31" s="25">
        <f>C28+E28+G28</f>
        <v>3.5123597943539258</v>
      </c>
    </row>
    <row r="32" spans="1:7" x14ac:dyDescent="0.35">
      <c r="A32" s="42"/>
    </row>
    <row r="34" spans="1:7" x14ac:dyDescent="0.35">
      <c r="A34" s="17" t="s">
        <v>62</v>
      </c>
      <c r="B34" s="18"/>
      <c r="C34" s="19">
        <v>10</v>
      </c>
      <c r="G34" s="26">
        <f>IF(G31&gt;C34, G31, C34)</f>
        <v>10</v>
      </c>
    </row>
  </sheetData>
  <mergeCells count="3">
    <mergeCell ref="A1:G1"/>
    <mergeCell ref="A28:A29"/>
    <mergeCell ref="A31:A3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639E5-566E-4F26-BE9C-3241721981A9}">
  <dimension ref="A1:V34"/>
  <sheetViews>
    <sheetView view="pageBreakPreview" zoomScale="90" zoomScaleNormal="100" zoomScaleSheetLayoutView="90" workbookViewId="0">
      <selection activeCell="M50" sqref="M50"/>
    </sheetView>
  </sheetViews>
  <sheetFormatPr defaultRowHeight="14.5" x14ac:dyDescent="0.35"/>
  <cols>
    <col min="1" max="1" width="19.453125" customWidth="1"/>
    <col min="2" max="2" width="7" bestFit="1" customWidth="1"/>
    <col min="3" max="3" width="11" bestFit="1" customWidth="1"/>
    <col min="4" max="4" width="10" bestFit="1" customWidth="1"/>
    <col min="5" max="5" width="9.54296875" bestFit="1" customWidth="1"/>
    <col min="6" max="6" width="10.1796875" bestFit="1" customWidth="1"/>
    <col min="7" max="7" width="15" bestFit="1" customWidth="1"/>
  </cols>
  <sheetData>
    <row r="1" spans="1:22" x14ac:dyDescent="0.35">
      <c r="A1" s="41" t="s">
        <v>80</v>
      </c>
      <c r="B1" s="41"/>
      <c r="C1" s="41"/>
      <c r="D1" s="41"/>
      <c r="E1" s="41"/>
      <c r="F1" s="41"/>
      <c r="G1" s="41"/>
    </row>
    <row r="2" spans="1:22" x14ac:dyDescent="0.35">
      <c r="A2" t="s">
        <v>41</v>
      </c>
      <c r="B2" s="7">
        <v>122880</v>
      </c>
    </row>
    <row r="3" spans="1:22" x14ac:dyDescent="0.35">
      <c r="A3" t="s">
        <v>42</v>
      </c>
      <c r="B3" s="10">
        <f>E15</f>
        <v>0.23569999999999999</v>
      </c>
    </row>
    <row r="4" spans="1:22" x14ac:dyDescent="0.35">
      <c r="B4" s="7"/>
      <c r="D4" t="s">
        <v>43</v>
      </c>
      <c r="E4" t="s">
        <v>44</v>
      </c>
      <c r="G4" t="s">
        <v>45</v>
      </c>
    </row>
    <row r="5" spans="1:22" x14ac:dyDescent="0.35">
      <c r="B5" s="7"/>
      <c r="C5" t="s">
        <v>47</v>
      </c>
      <c r="D5">
        <v>0.3</v>
      </c>
      <c r="E5" s="21"/>
      <c r="G5" s="25">
        <f>D5*E5</f>
        <v>0</v>
      </c>
    </row>
    <row r="6" spans="1:22" x14ac:dyDescent="0.35">
      <c r="D6">
        <v>0.35</v>
      </c>
      <c r="E6" s="21"/>
      <c r="G6" s="25">
        <f t="shared" ref="G6:G14" si="0">D6*E6</f>
        <v>0</v>
      </c>
    </row>
    <row r="7" spans="1:22" x14ac:dyDescent="0.35">
      <c r="D7">
        <v>0.4</v>
      </c>
      <c r="E7" s="21"/>
      <c r="G7" s="25">
        <f t="shared" si="0"/>
        <v>0</v>
      </c>
    </row>
    <row r="8" spans="1:22" x14ac:dyDescent="0.35">
      <c r="D8">
        <v>0.45</v>
      </c>
      <c r="E8" s="21"/>
      <c r="G8" s="25">
        <f t="shared" si="0"/>
        <v>0</v>
      </c>
    </row>
    <row r="9" spans="1:22" x14ac:dyDescent="0.35">
      <c r="C9" t="s">
        <v>46</v>
      </c>
      <c r="D9">
        <v>0.5</v>
      </c>
      <c r="E9" s="21"/>
      <c r="G9" s="25">
        <f t="shared" si="0"/>
        <v>0</v>
      </c>
    </row>
    <row r="10" spans="1:22" x14ac:dyDescent="0.35">
      <c r="D10">
        <v>0.55000000000000004</v>
      </c>
      <c r="E10" s="21"/>
      <c r="G10" s="25">
        <f t="shared" si="0"/>
        <v>0</v>
      </c>
    </row>
    <row r="11" spans="1:22" x14ac:dyDescent="0.35">
      <c r="C11" t="s">
        <v>49</v>
      </c>
      <c r="D11">
        <v>0.6</v>
      </c>
      <c r="E11" s="21"/>
      <c r="G11" s="25">
        <f t="shared" si="0"/>
        <v>0</v>
      </c>
      <c r="O11" s="3"/>
    </row>
    <row r="12" spans="1:22" x14ac:dyDescent="0.35">
      <c r="D12">
        <v>0.65</v>
      </c>
      <c r="E12" s="21"/>
      <c r="G12" s="25">
        <f t="shared" si="0"/>
        <v>0</v>
      </c>
      <c r="O12" s="3"/>
    </row>
    <row r="13" spans="1:22" x14ac:dyDescent="0.35">
      <c r="D13">
        <v>0.7</v>
      </c>
      <c r="E13" s="21"/>
      <c r="G13" s="25">
        <f t="shared" si="0"/>
        <v>0</v>
      </c>
      <c r="O13" s="3"/>
      <c r="V13" s="3"/>
    </row>
    <row r="14" spans="1:22" x14ac:dyDescent="0.35">
      <c r="C14" t="s">
        <v>48</v>
      </c>
      <c r="D14">
        <v>0.9</v>
      </c>
      <c r="E14" s="21">
        <v>0.23569999999999999</v>
      </c>
      <c r="G14" s="25">
        <f t="shared" si="0"/>
        <v>0.21212999999999999</v>
      </c>
      <c r="O14" s="3"/>
      <c r="V14" s="3"/>
    </row>
    <row r="15" spans="1:22" x14ac:dyDescent="0.35">
      <c r="A15" t="s">
        <v>52</v>
      </c>
      <c r="C15" s="25">
        <f>G15/E15</f>
        <v>0.89999999999999991</v>
      </c>
      <c r="D15" t="s">
        <v>50</v>
      </c>
      <c r="E15" s="25">
        <f>SUM(E5:E14)</f>
        <v>0.23569999999999999</v>
      </c>
      <c r="F15" t="s">
        <v>51</v>
      </c>
      <c r="G15" s="25">
        <f>SUM(G5:G14)</f>
        <v>0.21212999999999999</v>
      </c>
      <c r="O15" s="3"/>
      <c r="V15" s="3"/>
    </row>
    <row r="16" spans="1:22" x14ac:dyDescent="0.35">
      <c r="O16" s="3"/>
      <c r="V16" s="3"/>
    </row>
    <row r="18" spans="1:7" x14ac:dyDescent="0.35">
      <c r="A18" t="s">
        <v>53</v>
      </c>
      <c r="C18" t="s">
        <v>54</v>
      </c>
      <c r="E18" t="s">
        <v>55</v>
      </c>
      <c r="G18" t="s">
        <v>63</v>
      </c>
    </row>
    <row r="19" spans="1:7" ht="15" customHeight="1" x14ac:dyDescent="0.35"/>
    <row r="20" spans="1:7" x14ac:dyDescent="0.35">
      <c r="A20" t="s">
        <v>56</v>
      </c>
      <c r="C20" s="13">
        <v>38</v>
      </c>
      <c r="E20" s="22">
        <v>1E-3</v>
      </c>
      <c r="G20" s="13">
        <v>162</v>
      </c>
    </row>
    <row r="22" spans="1:7" x14ac:dyDescent="0.35">
      <c r="A22" t="s">
        <v>57</v>
      </c>
      <c r="C22" s="25">
        <v>1.65</v>
      </c>
      <c r="E22" s="14">
        <v>0</v>
      </c>
      <c r="G22" s="25">
        <v>1.2</v>
      </c>
    </row>
    <row r="24" spans="1:7" x14ac:dyDescent="0.35">
      <c r="A24" t="s">
        <v>58</v>
      </c>
      <c r="E24" s="22">
        <v>1E-4</v>
      </c>
      <c r="G24" s="13">
        <v>0.45700000000000002</v>
      </c>
    </row>
    <row r="26" spans="1:7" x14ac:dyDescent="0.35">
      <c r="A26" t="s">
        <v>59</v>
      </c>
      <c r="E26" s="26">
        <f>3.3*E24*(E22^0.5)</f>
        <v>0</v>
      </c>
      <c r="G26" s="25">
        <f>3.3*G24*(G22^0.5)</f>
        <v>1.6520407779470818</v>
      </c>
    </row>
    <row r="28" spans="1:7" x14ac:dyDescent="0.35">
      <c r="A28" s="42" t="s">
        <v>60</v>
      </c>
      <c r="C28" s="25">
        <f>(1.8*(1.1-C15)*(C20^0.5))/(C22^(1/3))</f>
        <v>1.8780175698507449</v>
      </c>
      <c r="E28" s="14">
        <v>0</v>
      </c>
      <c r="G28" s="25">
        <f>G20/(60*G26)</f>
        <v>1.6343422245031813</v>
      </c>
    </row>
    <row r="29" spans="1:7" ht="15" customHeight="1" x14ac:dyDescent="0.35">
      <c r="A29" s="42"/>
    </row>
    <row r="31" spans="1:7" x14ac:dyDescent="0.35">
      <c r="A31" s="42" t="s">
        <v>61</v>
      </c>
      <c r="G31" s="25">
        <f>C28+E28+G28</f>
        <v>3.5123597943539262</v>
      </c>
    </row>
    <row r="32" spans="1:7" x14ac:dyDescent="0.35">
      <c r="A32" s="42"/>
    </row>
    <row r="34" spans="1:7" x14ac:dyDescent="0.35">
      <c r="A34" s="17" t="s">
        <v>62</v>
      </c>
      <c r="B34" s="18"/>
      <c r="C34" s="19">
        <v>10</v>
      </c>
      <c r="G34" s="26">
        <f>IF(G31&gt;C34, G31, C34)</f>
        <v>10</v>
      </c>
    </row>
  </sheetData>
  <mergeCells count="3">
    <mergeCell ref="A28:A29"/>
    <mergeCell ref="A31:A32"/>
    <mergeCell ref="A1:G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33356-C985-4F1E-841C-7F6527EC128B}">
  <dimension ref="A1:V34"/>
  <sheetViews>
    <sheetView view="pageBreakPreview" zoomScale="90" zoomScaleNormal="100" zoomScaleSheetLayoutView="90" workbookViewId="0">
      <selection activeCell="M50" sqref="M50"/>
    </sheetView>
  </sheetViews>
  <sheetFormatPr defaultRowHeight="14.5" x14ac:dyDescent="0.35"/>
  <cols>
    <col min="1" max="1" width="18.81640625" customWidth="1"/>
    <col min="2" max="2" width="7" bestFit="1" customWidth="1"/>
    <col min="3" max="3" width="11" bestFit="1" customWidth="1"/>
    <col min="4" max="4" width="10" bestFit="1" customWidth="1"/>
    <col min="5" max="5" width="9.54296875" bestFit="1" customWidth="1"/>
    <col min="6" max="6" width="10.1796875" bestFit="1" customWidth="1"/>
    <col min="7" max="7" width="15" bestFit="1" customWidth="1"/>
  </cols>
  <sheetData>
    <row r="1" spans="1:22" x14ac:dyDescent="0.35">
      <c r="A1" s="41" t="s">
        <v>81</v>
      </c>
      <c r="B1" s="41"/>
      <c r="C1" s="41"/>
      <c r="D1" s="41"/>
      <c r="E1" s="41"/>
      <c r="F1" s="41"/>
      <c r="G1" s="41"/>
    </row>
    <row r="2" spans="1:22" x14ac:dyDescent="0.35">
      <c r="A2" t="s">
        <v>41</v>
      </c>
      <c r="B2" s="7">
        <v>122880</v>
      </c>
    </row>
    <row r="3" spans="1:22" x14ac:dyDescent="0.35">
      <c r="A3" t="s">
        <v>42</v>
      </c>
      <c r="B3" s="10">
        <f>E15</f>
        <v>0.45450000000000002</v>
      </c>
    </row>
    <row r="4" spans="1:22" x14ac:dyDescent="0.35">
      <c r="B4" s="7"/>
      <c r="D4" t="s">
        <v>43</v>
      </c>
      <c r="E4" t="s">
        <v>44</v>
      </c>
      <c r="G4" t="s">
        <v>45</v>
      </c>
    </row>
    <row r="5" spans="1:22" x14ac:dyDescent="0.35">
      <c r="B5" s="7"/>
      <c r="C5" t="s">
        <v>47</v>
      </c>
      <c r="D5">
        <v>0.3</v>
      </c>
      <c r="E5" s="21"/>
      <c r="G5" s="25">
        <f>D5*E5</f>
        <v>0</v>
      </c>
    </row>
    <row r="6" spans="1:22" x14ac:dyDescent="0.35">
      <c r="D6">
        <v>0.35</v>
      </c>
      <c r="E6" s="21"/>
      <c r="G6" s="25">
        <f t="shared" ref="G6:G14" si="0">D6*E6</f>
        <v>0</v>
      </c>
    </row>
    <row r="7" spans="1:22" x14ac:dyDescent="0.35">
      <c r="D7">
        <v>0.4</v>
      </c>
      <c r="E7" s="21"/>
      <c r="G7" s="25">
        <f t="shared" si="0"/>
        <v>0</v>
      </c>
    </row>
    <row r="8" spans="1:22" x14ac:dyDescent="0.35">
      <c r="D8">
        <v>0.45</v>
      </c>
      <c r="E8" s="21"/>
      <c r="G8" s="25">
        <f t="shared" si="0"/>
        <v>0</v>
      </c>
    </row>
    <row r="9" spans="1:22" x14ac:dyDescent="0.35">
      <c r="C9" t="s">
        <v>46</v>
      </c>
      <c r="D9">
        <v>0.5</v>
      </c>
      <c r="E9" s="21"/>
      <c r="G9" s="25">
        <f t="shared" si="0"/>
        <v>0</v>
      </c>
    </row>
    <row r="10" spans="1:22" x14ac:dyDescent="0.35">
      <c r="D10">
        <v>0.55000000000000004</v>
      </c>
      <c r="E10" s="21"/>
      <c r="G10" s="25">
        <f t="shared" si="0"/>
        <v>0</v>
      </c>
    </row>
    <row r="11" spans="1:22" x14ac:dyDescent="0.35">
      <c r="C11" t="s">
        <v>49</v>
      </c>
      <c r="D11">
        <v>0.6</v>
      </c>
      <c r="E11" s="21"/>
      <c r="G11" s="25">
        <f t="shared" si="0"/>
        <v>0</v>
      </c>
      <c r="O11" s="3"/>
    </row>
    <row r="12" spans="1:22" x14ac:dyDescent="0.35">
      <c r="D12">
        <v>0.65</v>
      </c>
      <c r="E12" s="21"/>
      <c r="G12" s="25">
        <f t="shared" si="0"/>
        <v>0</v>
      </c>
      <c r="O12" s="3"/>
    </row>
    <row r="13" spans="1:22" x14ac:dyDescent="0.35">
      <c r="D13">
        <v>0.7</v>
      </c>
      <c r="E13" s="21"/>
      <c r="G13" s="25">
        <f t="shared" si="0"/>
        <v>0</v>
      </c>
      <c r="O13" s="3"/>
      <c r="V13" s="3"/>
    </row>
    <row r="14" spans="1:22" x14ac:dyDescent="0.35">
      <c r="C14" t="s">
        <v>48</v>
      </c>
      <c r="D14">
        <v>0.9</v>
      </c>
      <c r="E14" s="21">
        <v>0.45450000000000002</v>
      </c>
      <c r="G14" s="25">
        <f t="shared" si="0"/>
        <v>0.40905000000000002</v>
      </c>
      <c r="O14" s="3"/>
      <c r="V14" s="3"/>
    </row>
    <row r="15" spans="1:22" x14ac:dyDescent="0.35">
      <c r="A15" t="s">
        <v>52</v>
      </c>
      <c r="C15" s="25">
        <f>G15/E15</f>
        <v>0.9</v>
      </c>
      <c r="D15" t="s">
        <v>50</v>
      </c>
      <c r="E15" s="25">
        <f>SUM(E5:E14)</f>
        <v>0.45450000000000002</v>
      </c>
      <c r="F15" t="s">
        <v>51</v>
      </c>
      <c r="G15" s="25">
        <f>SUM(G5:G14)</f>
        <v>0.40905000000000002</v>
      </c>
      <c r="O15" s="3"/>
      <c r="V15" s="3"/>
    </row>
    <row r="16" spans="1:22" x14ac:dyDescent="0.35">
      <c r="O16" s="3"/>
      <c r="V16" s="3"/>
    </row>
    <row r="18" spans="1:7" x14ac:dyDescent="0.35">
      <c r="A18" t="s">
        <v>53</v>
      </c>
      <c r="C18" t="s">
        <v>54</v>
      </c>
      <c r="E18" t="s">
        <v>55</v>
      </c>
      <c r="G18" t="s">
        <v>63</v>
      </c>
    </row>
    <row r="19" spans="1:7" ht="15" customHeight="1" x14ac:dyDescent="0.35"/>
    <row r="20" spans="1:7" x14ac:dyDescent="0.35">
      <c r="A20" t="s">
        <v>56</v>
      </c>
      <c r="C20" s="13">
        <v>38</v>
      </c>
      <c r="E20" s="22">
        <v>1E-3</v>
      </c>
      <c r="G20" s="13">
        <v>162</v>
      </c>
    </row>
    <row r="22" spans="1:7" x14ac:dyDescent="0.35">
      <c r="A22" t="s">
        <v>57</v>
      </c>
      <c r="C22" s="25">
        <v>1.65</v>
      </c>
      <c r="E22" s="14">
        <v>0</v>
      </c>
      <c r="G22" s="25">
        <v>1.2</v>
      </c>
    </row>
    <row r="24" spans="1:7" x14ac:dyDescent="0.35">
      <c r="A24" t="s">
        <v>58</v>
      </c>
      <c r="E24" s="22">
        <v>1E-4</v>
      </c>
      <c r="G24" s="13">
        <v>0.45700000000000002</v>
      </c>
    </row>
    <row r="26" spans="1:7" x14ac:dyDescent="0.35">
      <c r="A26" t="s">
        <v>59</v>
      </c>
      <c r="E26" s="26">
        <f>3.3*E24*(E22^0.5)</f>
        <v>0</v>
      </c>
      <c r="G26" s="25">
        <f>3.3*G24*(G22^0.5)</f>
        <v>1.6520407779470818</v>
      </c>
    </row>
    <row r="28" spans="1:7" x14ac:dyDescent="0.35">
      <c r="A28" s="42" t="s">
        <v>60</v>
      </c>
      <c r="C28" s="25">
        <f>(1.8*(1.1-C15)*(C20^0.5))/(C22^(1/3))</f>
        <v>1.8780175698507442</v>
      </c>
      <c r="E28" s="14">
        <v>0</v>
      </c>
      <c r="G28" s="25">
        <f>G20/(60*G26)</f>
        <v>1.6343422245031813</v>
      </c>
    </row>
    <row r="29" spans="1:7" ht="15" customHeight="1" x14ac:dyDescent="0.35">
      <c r="A29" s="42"/>
    </row>
    <row r="31" spans="1:7" x14ac:dyDescent="0.35">
      <c r="A31" s="42" t="s">
        <v>61</v>
      </c>
      <c r="G31" s="25">
        <f>C28+E28+G28</f>
        <v>3.5123597943539258</v>
      </c>
    </row>
    <row r="32" spans="1:7" x14ac:dyDescent="0.35">
      <c r="A32" s="42"/>
    </row>
    <row r="34" spans="1:7" x14ac:dyDescent="0.35">
      <c r="A34" s="17" t="s">
        <v>62</v>
      </c>
      <c r="B34" s="18"/>
      <c r="C34" s="19">
        <v>10</v>
      </c>
      <c r="G34" s="26">
        <f>IF(G31&gt;C34, G31, C34)</f>
        <v>10</v>
      </c>
    </row>
  </sheetData>
  <mergeCells count="3">
    <mergeCell ref="A1:G1"/>
    <mergeCell ref="A28:A29"/>
    <mergeCell ref="A31:A32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3"/>
  <sheetViews>
    <sheetView workbookViewId="0">
      <selection activeCell="F14" sqref="F14"/>
    </sheetView>
  </sheetViews>
  <sheetFormatPr defaultRowHeight="14.5" x14ac:dyDescent="0.35"/>
  <cols>
    <col min="1" max="1" width="11.26953125" customWidth="1"/>
  </cols>
  <sheetData>
    <row r="1" spans="1:2" x14ac:dyDescent="0.35">
      <c r="A1" t="s">
        <v>14</v>
      </c>
    </row>
    <row r="3" spans="1:2" x14ac:dyDescent="0.35">
      <c r="A3" t="s">
        <v>15</v>
      </c>
      <c r="B3" s="7">
        <v>79</v>
      </c>
    </row>
    <row r="4" spans="1:2" x14ac:dyDescent="0.35">
      <c r="A4" t="s">
        <v>7</v>
      </c>
      <c r="B4" s="7">
        <v>6560</v>
      </c>
    </row>
    <row r="5" spans="1:2" x14ac:dyDescent="0.35">
      <c r="A5" t="s">
        <v>16</v>
      </c>
      <c r="B5" s="7">
        <v>4.9000000000000004</v>
      </c>
    </row>
    <row r="6" spans="1:2" x14ac:dyDescent="0.35">
      <c r="B6" s="7"/>
    </row>
    <row r="7" spans="1:2" x14ac:dyDescent="0.35">
      <c r="A7" t="s">
        <v>17</v>
      </c>
      <c r="B7" s="8">
        <f>(1000/B3)-10</f>
        <v>2.6582278481012658</v>
      </c>
    </row>
    <row r="8" spans="1:2" x14ac:dyDescent="0.35">
      <c r="B8" s="9"/>
    </row>
    <row r="9" spans="1:2" x14ac:dyDescent="0.35">
      <c r="A9" t="s">
        <v>18</v>
      </c>
      <c r="B9" s="11">
        <f>((B4^0.8)*((B7+1)^0.7))/(1900*(B5^0.5))</f>
        <v>0.66674682541710817</v>
      </c>
    </row>
    <row r="10" spans="1:2" x14ac:dyDescent="0.35">
      <c r="A10" t="s">
        <v>19</v>
      </c>
      <c r="B10" s="11">
        <f>B9*60</f>
        <v>40.004809525026488</v>
      </c>
    </row>
    <row r="11" spans="1:2" x14ac:dyDescent="0.35">
      <c r="B11" s="10"/>
    </row>
    <row r="12" spans="1:2" x14ac:dyDescent="0.35">
      <c r="A12" t="s">
        <v>20</v>
      </c>
      <c r="B12" s="11">
        <f>B9/0.6</f>
        <v>1.1112447090285136</v>
      </c>
    </row>
    <row r="13" spans="1:2" x14ac:dyDescent="0.35">
      <c r="A13" t="s">
        <v>21</v>
      </c>
      <c r="B13" s="11">
        <f>B10/0.6</f>
        <v>66.674682541710823</v>
      </c>
    </row>
  </sheetData>
  <pageMargins left="0.7" right="0.7" top="0.75" bottom="0.75" header="0.3" footer="0.3"/>
  <pageSetup paperSize="256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ODOT Rain - Ramp S</vt:lpstr>
      <vt:lpstr>ODOT ToC (DA 1)- Ramp S</vt:lpstr>
      <vt:lpstr>ODOT ToC (DA 2a)- Ramp S</vt:lpstr>
      <vt:lpstr>ODOT ToC (DA 2b)- Ramp S</vt:lpstr>
      <vt:lpstr>ODOT ToC (DA 3)- Truck Parking</vt:lpstr>
      <vt:lpstr>ODOT ToC (DA 4)- Truck Park</vt:lpstr>
      <vt:lpstr>ODOT ToC (DA5-DA9)-Truck Park</vt:lpstr>
      <vt:lpstr>ODOT ToC (DA 10)-Truck Parking</vt:lpstr>
      <vt:lpstr>SCS lag</vt:lpstr>
      <vt:lpstr>TR55 ToC</vt:lpstr>
      <vt:lpstr>DA-RC-TOC Table</vt:lpstr>
      <vt:lpstr>'ODOT ToC (DA 1)- Ramp S'!Print_Area</vt:lpstr>
      <vt:lpstr>'ODOT ToC (DA 10)-Truck Parking'!Print_Area</vt:lpstr>
      <vt:lpstr>'ODOT ToC (DA 2a)- Ramp S'!Print_Area</vt:lpstr>
      <vt:lpstr>'ODOT ToC (DA 2b)- Ramp S'!Print_Area</vt:lpstr>
      <vt:lpstr>'ODOT ToC (DA 3)- Truck Parking'!Print_Area</vt:lpstr>
      <vt:lpstr>'ODOT ToC (DA 4)- Truck Park'!Print_Area</vt:lpstr>
      <vt:lpstr>'ODOT ToC (DA5-DA9)-Truck Park'!Print_Area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Kusner</dc:creator>
  <cp:lastModifiedBy>Kendall Gindling (STONE)</cp:lastModifiedBy>
  <cp:lastPrinted>2025-12-01T14:41:45Z</cp:lastPrinted>
  <dcterms:created xsi:type="dcterms:W3CDTF">2019-01-14T17:10:53Z</dcterms:created>
  <dcterms:modified xsi:type="dcterms:W3CDTF">2025-12-20T23:53:18Z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